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FIJOS\2026\"/>
    </mc:Choice>
  </mc:AlternateContent>
  <xr:revisionPtr revIDLastSave="0" documentId="13_ncr:1_{B9717190-BA31-4C7C-93B2-F33D03C7E3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_FilterDatabase" localSheetId="0" hidden="1">FIJO!$A$8:$FV$17</definedName>
    <definedName name="_xlnm.Print_Area" localSheetId="0">FIJO!$A$1:$T$91</definedName>
    <definedName name="_xlnm.Print_Titles" localSheetId="0">FIJO!$1:$9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6" i="1" l="1"/>
  <c r="O55" i="1"/>
  <c r="O47" i="1"/>
  <c r="O51" i="1"/>
  <c r="O43" i="1"/>
  <c r="O42" i="1"/>
  <c r="O60" i="1"/>
  <c r="O25" i="1"/>
  <c r="O21" i="1"/>
  <c r="O35" i="1"/>
  <c r="O34" i="1"/>
  <c r="O31" i="1"/>
  <c r="O30" i="1"/>
  <c r="O29" i="1"/>
  <c r="O17" i="1"/>
  <c r="O16" i="1"/>
  <c r="O15" i="1"/>
  <c r="O14" i="1"/>
  <c r="O13" i="1"/>
  <c r="O11" i="1"/>
  <c r="M29" i="1"/>
  <c r="J35" i="1"/>
  <c r="J34" i="1"/>
  <c r="J33" i="1"/>
  <c r="J32" i="1"/>
  <c r="J30" i="1"/>
  <c r="J29" i="1"/>
  <c r="M31" i="1"/>
  <c r="J31" i="1"/>
  <c r="M16" i="1"/>
  <c r="J16" i="1"/>
  <c r="M15" i="1"/>
  <c r="J15" i="1"/>
  <c r="M14" i="1"/>
  <c r="J14" i="1"/>
  <c r="M13" i="1"/>
  <c r="J13" i="1"/>
  <c r="M12" i="1"/>
  <c r="J12" i="1"/>
  <c r="J11" i="1"/>
  <c r="L16" i="1"/>
  <c r="O32" i="1" l="1"/>
  <c r="P35" i="1"/>
  <c r="N35" i="1"/>
  <c r="M35" i="1"/>
  <c r="Q35" i="1" s="1"/>
  <c r="S35" i="1" s="1"/>
  <c r="M34" i="1"/>
  <c r="M33" i="1"/>
  <c r="M30" i="1"/>
  <c r="M17" i="1"/>
  <c r="K35" i="1"/>
  <c r="R35" i="1" s="1"/>
  <c r="K34" i="1"/>
  <c r="Q56" i="1" l="1"/>
  <c r="Q31" i="1"/>
  <c r="Q30" i="1"/>
  <c r="Q29" i="1"/>
  <c r="Q16" i="1"/>
  <c r="O38" i="1"/>
  <c r="Q38" i="1" s="1"/>
  <c r="S38" i="1" s="1"/>
  <c r="Q34" i="1"/>
  <c r="S34" i="1" s="1"/>
  <c r="O33" i="1"/>
  <c r="Q33" i="1"/>
  <c r="Q17" i="1"/>
  <c r="S17" i="1" s="1"/>
  <c r="Q15" i="1"/>
  <c r="Q14" i="1"/>
  <c r="Q13" i="1"/>
  <c r="O12" i="1"/>
  <c r="Q12" i="1" s="1"/>
  <c r="R38" i="1"/>
  <c r="R34" i="1"/>
  <c r="P34" i="1"/>
  <c r="K17" i="1"/>
  <c r="R17" i="1" s="1"/>
  <c r="P17" i="1"/>
  <c r="J60" i="1"/>
  <c r="N60" i="1"/>
  <c r="K60" i="1"/>
  <c r="N55" i="1"/>
  <c r="M55" i="1"/>
  <c r="K55" i="1"/>
  <c r="J55" i="1"/>
  <c r="N51" i="1"/>
  <c r="M51" i="1"/>
  <c r="K51" i="1"/>
  <c r="J51" i="1"/>
  <c r="M47" i="1"/>
  <c r="J47" i="1"/>
  <c r="N42" i="1"/>
  <c r="M42" i="1"/>
  <c r="N43" i="1"/>
  <c r="M43" i="1"/>
  <c r="K43" i="1"/>
  <c r="J43" i="1"/>
  <c r="K42" i="1"/>
  <c r="J42" i="1"/>
  <c r="N25" i="1"/>
  <c r="M25" i="1"/>
  <c r="K25" i="1"/>
  <c r="J25" i="1"/>
  <c r="M21" i="1"/>
  <c r="J21" i="1"/>
  <c r="M32" i="1"/>
  <c r="K33" i="1"/>
  <c r="K29" i="1"/>
  <c r="K30" i="1"/>
  <c r="K31" i="1"/>
  <c r="K32" i="1"/>
  <c r="Q47" i="1" l="1"/>
  <c r="Q42" i="1"/>
  <c r="Q25" i="1"/>
  <c r="Q60" i="1"/>
  <c r="S60" i="1" s="1"/>
  <c r="Q55" i="1"/>
  <c r="Q51" i="1"/>
  <c r="Q43" i="1"/>
  <c r="Q21" i="1"/>
  <c r="Q11" i="1"/>
  <c r="R16" i="1"/>
  <c r="S16" i="1"/>
  <c r="P16" i="1"/>
  <c r="R43" i="1"/>
  <c r="O61" i="1"/>
  <c r="L61" i="1"/>
  <c r="I61" i="1"/>
  <c r="H61" i="1"/>
  <c r="G61" i="1"/>
  <c r="S43" i="1" l="1"/>
  <c r="R15" i="1"/>
  <c r="S15" i="1"/>
  <c r="P15" i="1"/>
  <c r="S25" i="1"/>
  <c r="P25" i="1"/>
  <c r="R13" i="1"/>
  <c r="S13" i="1"/>
  <c r="P13" i="1"/>
  <c r="R25" i="1" l="1"/>
  <c r="S14" i="1" l="1"/>
  <c r="P14" i="1" l="1"/>
  <c r="P33" i="1"/>
  <c r="P60" i="1"/>
  <c r="R33" i="1"/>
  <c r="S33" i="1"/>
  <c r="R60" i="1"/>
  <c r="S12" i="1" l="1"/>
  <c r="P12" i="1"/>
  <c r="N12" i="1"/>
  <c r="K12" i="1"/>
  <c r="R12" i="1" l="1"/>
  <c r="P11" i="1" l="1"/>
  <c r="S11" i="1"/>
  <c r="K11" i="1"/>
  <c r="R14" i="1" l="1"/>
  <c r="R11" i="1"/>
  <c r="Q32" i="1" l="1"/>
  <c r="N21" i="1"/>
  <c r="K21" i="1"/>
  <c r="R21" i="1" s="1"/>
  <c r="S21" i="1" l="1"/>
  <c r="J61" i="1"/>
  <c r="M61" i="1" l="1"/>
  <c r="Q61" i="1"/>
  <c r="S32" i="1"/>
  <c r="P21" i="1" l="1"/>
  <c r="P61" i="1" s="1"/>
  <c r="S55" i="1" l="1"/>
  <c r="S47" i="1"/>
  <c r="S42" i="1"/>
  <c r="S30" i="1"/>
  <c r="S51" i="1"/>
  <c r="S31" i="1"/>
  <c r="S56" i="1"/>
  <c r="K56" i="1"/>
  <c r="K47" i="1"/>
  <c r="N31" i="1"/>
  <c r="N56" i="1"/>
  <c r="N30" i="1"/>
  <c r="N47" i="1"/>
  <c r="N29" i="1"/>
  <c r="K61" i="1" l="1"/>
  <c r="N61" i="1"/>
  <c r="S29" i="1"/>
  <c r="S61" i="1" s="1"/>
  <c r="R29" i="1"/>
  <c r="R47" i="1"/>
  <c r="R56" i="1"/>
  <c r="R31" i="1"/>
  <c r="R30" i="1"/>
  <c r="R55" i="1"/>
  <c r="R42" i="1"/>
  <c r="R51" i="1"/>
  <c r="R61" i="1" l="1"/>
</calcChain>
</file>

<file path=xl/sharedStrings.xml><?xml version="1.0" encoding="utf-8"?>
<sst xmlns="http://schemas.openxmlformats.org/spreadsheetml/2006/main" count="186" uniqueCount="122">
  <si>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</si>
  <si>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</si>
  <si>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</si>
  <si>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</si>
  <si>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</si>
  <si>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</si>
  <si>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</si>
  <si>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</si>
  <si>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</si>
  <si>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</si>
  <si>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</si>
  <si>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</si>
  <si>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</si>
  <si>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</si>
  <si>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</si>
  <si>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</si>
  <si>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</si>
  <si>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</si>
  <si>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</si>
  <si>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</si>
  <si>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</si>
  <si>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</si>
  <si>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</si>
  <si>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</si>
  <si>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</si>
  <si>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</si>
  <si>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</si>
  <si>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</si>
  <si>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</si>
  <si>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</si>
  <si>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</si>
  <si>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</si>
  <si>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</si>
  <si>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</si>
  <si>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</si>
  <si>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</si>
  <si>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</si>
  <si>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</si>
  <si>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</si>
  <si>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</si>
  <si>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</si>
  <si>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</si>
  <si>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</si>
  <si>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</si>
  <si>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</si>
  <si>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</si>
  <si>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</si>
  <si>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</si>
  <si>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</si>
  <si>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</si>
  <si>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</si>
  <si>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</si>
  <si>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</si>
  <si>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</si>
  <si>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</si>
  <si>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</si>
  <si>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</si>
  <si>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</si>
  <si>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</si>
  <si>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</si>
  <si>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</si>
  <si>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</si>
  <si>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</si>
  <si>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</si>
  <si>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</si>
  <si>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</si>
  <si>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</si>
  <si>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</si>
  <si>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</si>
  <si>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</si>
  <si>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</si>
  <si>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</si>
  <si>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</si>
  <si>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</si>
  <si>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</si>
  <si>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</si>
  <si>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</si>
  <si>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</si>
  <si>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</si>
  <si>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</si>
  <si>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</si>
  <si>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</si>
  <si>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</si>
  <si>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</si>
  <si>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</si>
  <si>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</si>
  <si>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</si>
  <si>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</si>
  <si>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</si>
  <si>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</si>
  <si>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</si>
  <si>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</si>
  <si>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</si>
  <si>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</si>
  <si>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</si>
  <si>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</si>
  <si>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</si>
  <si>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</si>
  <si>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</si>
  <si>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</si>
  <si>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</si>
  <si>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Técnico Recursos Humanos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</si>
  <si>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</si>
  <si>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</si>
  <si>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</si>
  <si>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</si>
  <si>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</si>
  <si>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</si>
  <si>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</si>
  <si>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</si>
  <si>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</si>
  <si>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Anafranc de los Santos</t>
  </si>
  <si>
    <t xml:space="preserve">De Libre Nombramiento y Remoción </t>
  </si>
  <si>
    <t>Bernal José Payano Marte</t>
  </si>
  <si>
    <t>Lic. Cruz Dilia Agramonte Pérez</t>
  </si>
  <si>
    <t>Autorizado Por:</t>
  </si>
  <si>
    <r>
      <t xml:space="preserve">   (2*) Salario cotizable hasta RD$92,892.00,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</si>
  <si>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RD$232,230.00,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</si>
  <si>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RD$464,460.00,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</si>
  <si>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NOMINA SUELDOS CORRESPONDIENTE MAYO 2026: EMPLEADOS FIJOS</t>
  </si>
  <si>
    <t xml:space="preserve">   (5*) Deducción directa declaración TSS del SUIRPLUS por registro de dependientes adicionales al SDSS. RD$1,919.78 por cada dependiente adicional registrado.</t>
  </si>
  <si>
    <t>CERTIFICO QUE ESTA NOMINA DE PAGO CONSTA DE  **2** HOJAS, ESTA CORRECTA Y COMPLETA Y QUE LAS PERSONAS ENUMERADAS EN LA MISMA SON LAS QUE AL 25 DE MAYO 2026 FIGURAN EN LOS RECORD DE PERSONAL FIJO QUE MATIENE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</si>
</sst>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5" fillId="0" borderId="0" xfId="0" applyFont="1"/>
    <xf numFmtId="165" fontId="8" fillId="0" borderId="0" xfId="3" applyFont="1" applyAlignment="1">
      <alignment horizontal="center"/>
    </xf>
    <xf numFmtId="0" fontId="9" fillId="2" borderId="1" xfId="0" applyFont="1" applyFill="1" applyBorder="1"/>
    <xf numFmtId="165" fontId="8" fillId="2" borderId="1" xfId="3" applyFont="1" applyFill="1" applyBorder="1" applyAlignment="1">
      <alignment horizontal="center"/>
    </xf>
    <xf numFmtId="165" fontId="8" fillId="2" borderId="2" xfId="3" applyFont="1" applyFill="1" applyBorder="1" applyAlignment="1">
      <alignment horizontal="center"/>
    </xf>
    <xf numFmtId="165" fontId="8" fillId="2" borderId="0" xfId="3" applyFont="1" applyFill="1" applyAlignment="1">
      <alignment horizontal="center"/>
    </xf>
    <xf numFmtId="165" fontId="8" fillId="2" borderId="0" xfId="3" applyFont="1" applyFill="1"/>
    <xf numFmtId="165" fontId="8" fillId="2" borderId="0" xfId="3" applyFont="1" applyFill="1" applyBorder="1"/>
    <xf numFmtId="0" fontId="10" fillId="0" borderId="0" xfId="0" applyFont="1"/>
    <xf numFmtId="0" fontId="8" fillId="2" borderId="1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8" fillId="2" borderId="1" xfId="2" applyFont="1" applyFill="1" applyBorder="1"/>
    <xf numFmtId="0" fontId="9" fillId="2" borderId="1" xfId="0" applyFont="1" applyFill="1" applyBorder="1" applyAlignment="1">
      <alignment horizontal="center"/>
    </xf>
    <xf numFmtId="10" fontId="8" fillId="2" borderId="1" xfId="2" applyNumberFormat="1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left"/>
    </xf>
    <xf numFmtId="43" fontId="11" fillId="0" borderId="1" xfId="1" applyFont="1" applyBorder="1"/>
    <xf numFmtId="166" fontId="11" fillId="0" borderId="1" xfId="2" applyNumberFormat="1" applyFont="1" applyBorder="1"/>
    <xf numFmtId="166" fontId="11" fillId="0" borderId="1" xfId="4" applyNumberFormat="1" applyFont="1" applyBorder="1"/>
    <xf numFmtId="166" fontId="11" fillId="0" borderId="1" xfId="0" applyNumberFormat="1" applyFont="1" applyBorder="1"/>
    <xf numFmtId="0" fontId="11" fillId="0" borderId="1" xfId="2" applyFont="1" applyBorder="1"/>
    <xf numFmtId="43" fontId="11" fillId="0" borderId="1" xfId="0" applyNumberFormat="1" applyFont="1" applyBorder="1"/>
    <xf numFmtId="0" fontId="8" fillId="0" borderId="1" xfId="2" applyFont="1" applyBorder="1" applyAlignment="1">
      <alignment horizontal="left"/>
    </xf>
    <xf numFmtId="43" fontId="8" fillId="0" borderId="1" xfId="1" applyFont="1" applyBorder="1"/>
    <xf numFmtId="166" fontId="8" fillId="0" borderId="1" xfId="2" applyNumberFormat="1" applyFont="1" applyBorder="1"/>
    <xf numFmtId="166" fontId="8" fillId="0" borderId="1" xfId="4" applyNumberFormat="1" applyFont="1" applyBorder="1"/>
    <xf numFmtId="166" fontId="8" fillId="0" borderId="1" xfId="0" applyNumberFormat="1" applyFont="1" applyBorder="1"/>
    <xf numFmtId="0" fontId="8" fillId="0" borderId="1" xfId="2" applyFont="1" applyBorder="1"/>
    <xf numFmtId="0" fontId="11" fillId="0" borderId="1" xfId="0" applyFont="1" applyBorder="1"/>
    <xf numFmtId="0" fontId="10" fillId="0" borderId="4" xfId="0" applyFont="1" applyBorder="1"/>
    <xf numFmtId="0" fontId="11" fillId="0" borderId="1" xfId="0" applyFont="1" applyBorder="1" applyAlignment="1">
      <alignment horizontal="center"/>
    </xf>
    <xf numFmtId="0" fontId="11" fillId="0" borderId="1" xfId="2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2" applyFont="1" applyAlignment="1">
      <alignment horizontal="left"/>
    </xf>
    <xf numFmtId="43" fontId="11" fillId="0" borderId="0" xfId="1" applyFont="1" applyBorder="1"/>
    <xf numFmtId="166" fontId="11" fillId="0" borderId="0" xfId="4" applyNumberFormat="1" applyFont="1" applyBorder="1"/>
    <xf numFmtId="166" fontId="11" fillId="0" borderId="0" xfId="0" applyNumberFormat="1" applyFont="1"/>
    <xf numFmtId="166" fontId="11" fillId="0" borderId="0" xfId="2" applyNumberFormat="1" applyFont="1"/>
    <xf numFmtId="0" fontId="11" fillId="0" borderId="0" xfId="2" applyFont="1"/>
    <xf numFmtId="0" fontId="8" fillId="0" borderId="0" xfId="2" applyFont="1"/>
    <xf numFmtId="0" fontId="8" fillId="0" borderId="0" xfId="2" applyFont="1" applyAlignment="1">
      <alignment horizontal="center"/>
    </xf>
    <xf numFmtId="166" fontId="8" fillId="0" borderId="0" xfId="2" applyNumberFormat="1" applyFont="1"/>
    <xf numFmtId="0" fontId="11" fillId="0" borderId="0" xfId="0" applyFont="1" applyAlignment="1">
      <alignment vertical="center"/>
    </xf>
    <xf numFmtId="43" fontId="10" fillId="0" borderId="0" xfId="0" applyNumberFormat="1" applyFont="1"/>
    <xf numFmtId="43" fontId="9" fillId="0" borderId="0" xfId="0" applyNumberFormat="1" applyFont="1"/>
    <xf numFmtId="4" fontId="11" fillId="0" borderId="0" xfId="0" applyNumberFormat="1" applyFont="1" applyAlignment="1">
      <alignment vertical="center"/>
    </xf>
    <xf numFmtId="0" fontId="9" fillId="0" borderId="0" xfId="0" applyFont="1"/>
    <xf numFmtId="0" fontId="8" fillId="0" borderId="1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/>
    <xf numFmtId="0" fontId="8" fillId="0" borderId="1" xfId="2" applyFont="1" applyBorder="1" applyAlignment="1">
      <alignment horizontal="center"/>
    </xf>
    <xf numFmtId="43" fontId="11" fillId="0" borderId="1" xfId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165" fontId="8" fillId="2" borderId="3" xfId="3" applyFont="1" applyFill="1" applyBorder="1" applyAlignment="1">
      <alignment horizontal="center"/>
    </xf>
    <xf numFmtId="165" fontId="8" fillId="2" borderId="5" xfId="3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2" borderId="1" xfId="2" applyFont="1" applyFill="1" applyBorder="1" applyAlignment="1">
      <alignment horizont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1119186</xdr:colOff>
      <xdr:row>1</xdr:row>
      <xdr:rowOff>142874</xdr:rowOff>
    </xdr:from>
    <xdr:to>
      <xdr:col>2</xdr:col>
      <xdr:colOff>4784407</xdr:colOff>
      <xdr:row>4</xdr:row>
      <xdr:rowOff>379095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34186" y="404812"/>
          <a:ext cx="3665221" cy="1879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86"/>
  <sheetViews>
    <sheetView tabSelected="1" view="pageBreakPreview" zoomScale="40" zoomScaleNormal="71" zoomScaleSheetLayoutView="40" workbookViewId="0">
      <pane xSplit="2" ySplit="2" topLeftCell="D46" activePane="bottomRight" state="frozen"/>
      <selection pane="topRight" activeCell="C1" sqref="C1"/>
      <selection pane="bottomLeft" activeCell="A3" sqref="A3"/>
      <selection pane="bottomRight" activeCell="B73" sqref="B73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77.71093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46.5" x14ac:dyDescent="0.7">
      <c r="A5" s="62" t="s">
        <v>119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11" customFormat="1" ht="27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 t="s">
        <v>1</v>
      </c>
      <c r="K7" s="6"/>
      <c r="L7" s="6" t="s">
        <v>2</v>
      </c>
      <c r="M7" s="64" t="s">
        <v>3</v>
      </c>
      <c r="N7" s="65"/>
      <c r="O7" s="7" t="s">
        <v>4</v>
      </c>
      <c r="P7" s="6"/>
      <c r="Q7" s="8"/>
      <c r="R7" s="9"/>
      <c r="S7" s="9"/>
      <c r="T7" s="10"/>
    </row>
    <row r="8" spans="1:20" s="11" customFormat="1" ht="27" customHeight="1" x14ac:dyDescent="0.45">
      <c r="A8" s="12" t="s">
        <v>51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83</v>
      </c>
      <c r="G8" s="68" t="s">
        <v>41</v>
      </c>
      <c r="H8" s="12" t="s">
        <v>10</v>
      </c>
      <c r="I8" s="67" t="s">
        <v>66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12</v>
      </c>
      <c r="O8" s="12" t="s">
        <v>15</v>
      </c>
      <c r="P8" s="67" t="s">
        <v>16</v>
      </c>
      <c r="Q8" s="12" t="s">
        <v>17</v>
      </c>
      <c r="R8" s="12" t="s">
        <v>18</v>
      </c>
      <c r="S8" s="12" t="s">
        <v>19</v>
      </c>
      <c r="T8" s="12" t="s">
        <v>20</v>
      </c>
    </row>
    <row r="9" spans="1:20" s="11" customFormat="1" ht="27" customHeight="1" x14ac:dyDescent="0.45">
      <c r="A9" s="13"/>
      <c r="B9" s="14"/>
      <c r="C9" s="14"/>
      <c r="D9" s="14"/>
      <c r="E9" s="14"/>
      <c r="F9" s="14"/>
      <c r="G9" s="68"/>
      <c r="H9" s="15" t="s">
        <v>21</v>
      </c>
      <c r="I9" s="67"/>
      <c r="J9" s="16">
        <v>2.87E-2</v>
      </c>
      <c r="K9" s="16">
        <v>7.0999999999999994E-2</v>
      </c>
      <c r="L9" s="16" t="s">
        <v>45</v>
      </c>
      <c r="M9" s="16">
        <v>3.04E-2</v>
      </c>
      <c r="N9" s="16">
        <v>7.0900000000000005E-2</v>
      </c>
      <c r="O9" s="12" t="s">
        <v>22</v>
      </c>
      <c r="P9" s="67"/>
      <c r="Q9" s="12" t="s">
        <v>23</v>
      </c>
      <c r="R9" s="12" t="s">
        <v>12</v>
      </c>
      <c r="S9" s="12" t="s">
        <v>24</v>
      </c>
      <c r="T9" s="12" t="s">
        <v>5</v>
      </c>
    </row>
    <row r="10" spans="1:20" s="11" customFormat="1" ht="27" customHeight="1" x14ac:dyDescent="0.45">
      <c r="A10" s="17"/>
      <c r="B10" s="69" t="s">
        <v>38</v>
      </c>
      <c r="C10" s="70"/>
      <c r="D10" s="71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s="11" customFormat="1" ht="27" customHeight="1" x14ac:dyDescent="0.45">
      <c r="A11" s="19">
        <v>1</v>
      </c>
      <c r="B11" s="20" t="s">
        <v>71</v>
      </c>
      <c r="C11" s="19" t="s">
        <v>38</v>
      </c>
      <c r="D11" s="19" t="s">
        <v>72</v>
      </c>
      <c r="E11" s="19" t="s">
        <v>112</v>
      </c>
      <c r="F11" s="19" t="s">
        <v>84</v>
      </c>
      <c r="G11" s="28">
        <v>240000</v>
      </c>
      <c r="H11" s="22">
        <v>45095.92</v>
      </c>
      <c r="I11" s="23">
        <v>25</v>
      </c>
      <c r="J11" s="23">
        <f>+G11*J9</f>
        <v>6888</v>
      </c>
      <c r="K11" s="21">
        <f>G11*K9</f>
        <v>17040</v>
      </c>
      <c r="L11" s="23">
        <v>1114.7</v>
      </c>
      <c r="M11" s="23">
        <v>7059.79</v>
      </c>
      <c r="N11" s="23">
        <v>11530.11</v>
      </c>
      <c r="O11" s="23">
        <f>9493.51-25</f>
        <v>9468.51</v>
      </c>
      <c r="P11" s="23">
        <f t="shared" ref="P11:P17" si="0">J11+M11</f>
        <v>13947.79</v>
      </c>
      <c r="Q11" s="24">
        <f>+H11+I11+J11+M11+O11</f>
        <v>68537.22</v>
      </c>
      <c r="R11" s="22">
        <f>K11+N11</f>
        <v>28570.11</v>
      </c>
      <c r="S11" s="30">
        <f>G11-Q11</f>
        <v>171462.78</v>
      </c>
      <c r="T11" s="25">
        <v>111</v>
      </c>
    </row>
    <row r="12" spans="1:20" s="11" customFormat="1" ht="27" customHeight="1" x14ac:dyDescent="0.45">
      <c r="A12" s="19">
        <v>2</v>
      </c>
      <c r="B12" s="25" t="s">
        <v>73</v>
      </c>
      <c r="C12" s="19" t="s">
        <v>38</v>
      </c>
      <c r="D12" s="19" t="s">
        <v>74</v>
      </c>
      <c r="E12" s="19" t="s">
        <v>112</v>
      </c>
      <c r="F12" s="19" t="s">
        <v>85</v>
      </c>
      <c r="G12" s="28">
        <v>131951.16</v>
      </c>
      <c r="H12" s="23">
        <v>19621.080000000002</v>
      </c>
      <c r="I12" s="23">
        <v>25</v>
      </c>
      <c r="J12" s="23">
        <f>+G12*J9</f>
        <v>3786.9982920000002</v>
      </c>
      <c r="K12" s="21">
        <f>G12*K9</f>
        <v>9368.5323599999992</v>
      </c>
      <c r="L12" s="23">
        <v>1114.7</v>
      </c>
      <c r="M12" s="23">
        <f>+G12*M9</f>
        <v>4011.3152640000003</v>
      </c>
      <c r="N12" s="23">
        <f>G12*N9</f>
        <v>9355.3372440000003</v>
      </c>
      <c r="O12" s="23">
        <f>225-25</f>
        <v>200</v>
      </c>
      <c r="P12" s="23">
        <f t="shared" si="0"/>
        <v>7798.313556000001</v>
      </c>
      <c r="Q12" s="24">
        <f>+H12+I12+J12+M12+O12</f>
        <v>27644.393556000003</v>
      </c>
      <c r="R12" s="22">
        <f>K12+L12+N12</f>
        <v>19838.569604</v>
      </c>
      <c r="S12" s="30">
        <f>G12-Q12</f>
        <v>104306.76644400001</v>
      </c>
      <c r="T12" s="25">
        <v>111</v>
      </c>
    </row>
    <row r="13" spans="1:20" s="11" customFormat="1" ht="27" customHeight="1" x14ac:dyDescent="0.45">
      <c r="A13" s="19">
        <v>3</v>
      </c>
      <c r="B13" s="20" t="s">
        <v>80</v>
      </c>
      <c r="C13" s="19" t="s">
        <v>38</v>
      </c>
      <c r="D13" s="19" t="s">
        <v>74</v>
      </c>
      <c r="E13" s="19" t="s">
        <v>112</v>
      </c>
      <c r="F13" s="19" t="s">
        <v>85</v>
      </c>
      <c r="G13" s="28">
        <v>132000</v>
      </c>
      <c r="H13" s="23">
        <v>19632.57</v>
      </c>
      <c r="I13" s="23">
        <v>25</v>
      </c>
      <c r="J13" s="23">
        <f>+G13*J9</f>
        <v>3788.4</v>
      </c>
      <c r="K13" s="21">
        <v>9372</v>
      </c>
      <c r="L13" s="23">
        <v>1114.7</v>
      </c>
      <c r="M13" s="23">
        <f>+G13*M9</f>
        <v>4012.8</v>
      </c>
      <c r="N13" s="23">
        <v>9358.7999999999993</v>
      </c>
      <c r="O13" s="23">
        <f>3229.52-25</f>
        <v>3204.52</v>
      </c>
      <c r="P13" s="23">
        <f t="shared" si="0"/>
        <v>7801.2000000000007</v>
      </c>
      <c r="Q13" s="24">
        <f>+H13+I13+J13+M13+O13</f>
        <v>30663.29</v>
      </c>
      <c r="R13" s="22">
        <f t="shared" ref="R13" si="1">K13+N13</f>
        <v>18730.8</v>
      </c>
      <c r="S13" s="30">
        <f t="shared" ref="S13" si="2">G13-Q13</f>
        <v>101336.70999999999</v>
      </c>
      <c r="T13" s="25">
        <v>111</v>
      </c>
    </row>
    <row r="14" spans="1:20" s="11" customFormat="1" ht="27" customHeight="1" x14ac:dyDescent="0.45">
      <c r="A14" s="19">
        <v>4</v>
      </c>
      <c r="B14" s="25" t="s">
        <v>79</v>
      </c>
      <c r="C14" s="19" t="s">
        <v>38</v>
      </c>
      <c r="D14" s="19" t="s">
        <v>42</v>
      </c>
      <c r="E14" s="19" t="s">
        <v>112</v>
      </c>
      <c r="F14" s="19" t="s">
        <v>85</v>
      </c>
      <c r="G14" s="28">
        <v>131951.16</v>
      </c>
      <c r="H14" s="23">
        <v>19621.080000000002</v>
      </c>
      <c r="I14" s="23">
        <v>25</v>
      </c>
      <c r="J14" s="23">
        <f>+G14*J9</f>
        <v>3786.9982920000002</v>
      </c>
      <c r="K14" s="21">
        <v>9368.5300000000007</v>
      </c>
      <c r="L14" s="23">
        <v>1114.7</v>
      </c>
      <c r="M14" s="23">
        <f>+G14*M9</f>
        <v>4011.3152640000003</v>
      </c>
      <c r="N14" s="23">
        <v>9355.34</v>
      </c>
      <c r="O14" s="23">
        <f>18136.47-25</f>
        <v>18111.47</v>
      </c>
      <c r="P14" s="23">
        <f t="shared" si="0"/>
        <v>7798.313556000001</v>
      </c>
      <c r="Q14" s="24">
        <f>+H14+I14+J14+M14+O14</f>
        <v>45555.863556000004</v>
      </c>
      <c r="R14" s="22">
        <f>K14+N14</f>
        <v>18723.870000000003</v>
      </c>
      <c r="S14" s="30">
        <f t="shared" ref="S14:S17" si="3">G14-Q14</f>
        <v>86395.296444000007</v>
      </c>
      <c r="T14" s="25">
        <v>111</v>
      </c>
    </row>
    <row r="15" spans="1:20" s="11" customFormat="1" ht="27" customHeight="1" x14ac:dyDescent="0.45">
      <c r="A15" s="19">
        <v>5</v>
      </c>
      <c r="B15" s="25" t="s">
        <v>81</v>
      </c>
      <c r="C15" s="19" t="s">
        <v>38</v>
      </c>
      <c r="D15" s="19" t="s">
        <v>82</v>
      </c>
      <c r="E15" s="19" t="s">
        <v>112</v>
      </c>
      <c r="F15" s="19" t="s">
        <v>84</v>
      </c>
      <c r="G15" s="28">
        <v>70000</v>
      </c>
      <c r="H15" s="23">
        <v>5368.48</v>
      </c>
      <c r="I15" s="23">
        <v>25</v>
      </c>
      <c r="J15" s="23">
        <f>+G15*J9</f>
        <v>2009</v>
      </c>
      <c r="K15" s="21">
        <v>4970</v>
      </c>
      <c r="L15" s="23">
        <v>840</v>
      </c>
      <c r="M15" s="23">
        <f>+G15*M9</f>
        <v>2128</v>
      </c>
      <c r="N15" s="23">
        <v>4963</v>
      </c>
      <c r="O15" s="23">
        <f>6234.03-25</f>
        <v>6209.03</v>
      </c>
      <c r="P15" s="23">
        <f t="shared" si="0"/>
        <v>4137</v>
      </c>
      <c r="Q15" s="24">
        <f t="shared" ref="Q15:Q17" si="4">+H15+I15+J15+M15+O15</f>
        <v>15739.509999999998</v>
      </c>
      <c r="R15" s="22">
        <f>K15+N15</f>
        <v>9933</v>
      </c>
      <c r="S15" s="30">
        <f t="shared" si="3"/>
        <v>54260.490000000005</v>
      </c>
      <c r="T15" s="25">
        <v>111</v>
      </c>
    </row>
    <row r="16" spans="1:20" s="11" customFormat="1" ht="27" customHeight="1" x14ac:dyDescent="0.45">
      <c r="A16" s="19">
        <v>6</v>
      </c>
      <c r="B16" s="25" t="s">
        <v>98</v>
      </c>
      <c r="C16" s="19" t="s">
        <v>38</v>
      </c>
      <c r="D16" s="19" t="s">
        <v>74</v>
      </c>
      <c r="E16" s="19" t="s">
        <v>112</v>
      </c>
      <c r="F16" s="19" t="s">
        <v>84</v>
      </c>
      <c r="G16" s="28">
        <v>131951.16</v>
      </c>
      <c r="H16" s="23">
        <v>19621.080000000002</v>
      </c>
      <c r="I16" s="23">
        <v>25</v>
      </c>
      <c r="J16" s="23">
        <f>+G16*J9</f>
        <v>3786.9982920000002</v>
      </c>
      <c r="K16" s="21">
        <v>9368.5300000000007</v>
      </c>
      <c r="L16" s="23">
        <f>+L14</f>
        <v>1114.7</v>
      </c>
      <c r="M16" s="23">
        <f>+G16*M9</f>
        <v>4011.3152640000003</v>
      </c>
      <c r="N16" s="23">
        <v>9355.34</v>
      </c>
      <c r="O16" s="23">
        <f>3229.52-25</f>
        <v>3204.52</v>
      </c>
      <c r="P16" s="23">
        <f t="shared" si="0"/>
        <v>7798.313556000001</v>
      </c>
      <c r="Q16" s="24">
        <f t="shared" si="4"/>
        <v>30648.913556000003</v>
      </c>
      <c r="R16" s="22">
        <f>K16+N16</f>
        <v>18723.870000000003</v>
      </c>
      <c r="S16" s="30">
        <f t="shared" si="3"/>
        <v>101302.246444</v>
      </c>
      <c r="T16" s="25">
        <v>111</v>
      </c>
    </row>
    <row r="17" spans="1:178" s="11" customFormat="1" ht="27" customHeight="1" x14ac:dyDescent="0.45">
      <c r="A17" s="19">
        <v>7</v>
      </c>
      <c r="B17" s="25" t="s">
        <v>78</v>
      </c>
      <c r="C17" s="19" t="s">
        <v>38</v>
      </c>
      <c r="D17" s="19" t="s">
        <v>77</v>
      </c>
      <c r="E17" s="19" t="s">
        <v>112</v>
      </c>
      <c r="F17" s="19" t="s">
        <v>84</v>
      </c>
      <c r="G17" s="28">
        <v>40000</v>
      </c>
      <c r="H17" s="23">
        <v>442.65</v>
      </c>
      <c r="I17" s="23">
        <v>25</v>
      </c>
      <c r="J17" s="23">
        <v>1148</v>
      </c>
      <c r="K17" s="21">
        <f>+G17*K9</f>
        <v>2839.9999999999995</v>
      </c>
      <c r="L17" s="59">
        <v>480</v>
      </c>
      <c r="M17" s="22">
        <f>+G17*M9</f>
        <v>1216</v>
      </c>
      <c r="N17" s="23">
        <v>2836</v>
      </c>
      <c r="O17" s="23">
        <f>7896.48-25</f>
        <v>7871.48</v>
      </c>
      <c r="P17" s="23">
        <f t="shared" si="0"/>
        <v>2364</v>
      </c>
      <c r="Q17" s="24">
        <f t="shared" si="4"/>
        <v>10703.13</v>
      </c>
      <c r="R17" s="22">
        <f t="shared" ref="R17" si="5">K17+N17</f>
        <v>5676</v>
      </c>
      <c r="S17" s="30">
        <f t="shared" si="3"/>
        <v>29296.870000000003</v>
      </c>
      <c r="T17" s="25">
        <v>111</v>
      </c>
    </row>
    <row r="18" spans="1:178" s="11" customFormat="1" ht="27" customHeight="1" x14ac:dyDescent="0.45">
      <c r="A18" s="19"/>
      <c r="B18" s="25"/>
      <c r="C18" s="19"/>
      <c r="D18" s="19"/>
      <c r="E18" s="19"/>
      <c r="F18" s="19"/>
      <c r="G18" s="21"/>
      <c r="H18" s="23"/>
      <c r="I18" s="23"/>
      <c r="J18" s="23"/>
      <c r="K18" s="21"/>
      <c r="L18" s="21"/>
      <c r="M18" s="22"/>
      <c r="N18" s="23"/>
      <c r="O18" s="23"/>
      <c r="P18" s="23"/>
      <c r="Q18" s="24"/>
      <c r="R18" s="22"/>
      <c r="S18" s="23"/>
      <c r="T18" s="25"/>
    </row>
    <row r="19" spans="1:178" s="11" customFormat="1" ht="27" customHeight="1" x14ac:dyDescent="0.45">
      <c r="A19" s="66" t="s">
        <v>86</v>
      </c>
      <c r="B19" s="66"/>
      <c r="C19" s="66"/>
      <c r="D19" s="66"/>
      <c r="E19" s="27"/>
      <c r="F19" s="27"/>
      <c r="G19" s="28"/>
      <c r="H19" s="29"/>
      <c r="I19" s="30"/>
      <c r="J19" s="30"/>
      <c r="K19" s="28"/>
      <c r="L19" s="23"/>
      <c r="M19" s="29"/>
      <c r="N19" s="23"/>
      <c r="O19" s="30"/>
      <c r="P19" s="30"/>
      <c r="Q19" s="31"/>
      <c r="R19" s="29"/>
      <c r="S19" s="30"/>
      <c r="T19" s="32"/>
    </row>
    <row r="20" spans="1:178" s="11" customFormat="1" ht="27" customHeight="1" x14ac:dyDescent="0.4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23"/>
      <c r="O20" s="33"/>
      <c r="P20" s="33"/>
      <c r="Q20" s="33"/>
      <c r="R20" s="33"/>
      <c r="S20" s="33"/>
      <c r="T20" s="33"/>
    </row>
    <row r="21" spans="1:178" s="11" customFormat="1" ht="27" customHeight="1" x14ac:dyDescent="0.45">
      <c r="A21" s="19">
        <v>8</v>
      </c>
      <c r="B21" s="33" t="s">
        <v>46</v>
      </c>
      <c r="C21" s="19" t="s">
        <v>95</v>
      </c>
      <c r="D21" s="19" t="s">
        <v>47</v>
      </c>
      <c r="E21" s="19" t="s">
        <v>26</v>
      </c>
      <c r="F21" s="19" t="s">
        <v>85</v>
      </c>
      <c r="G21" s="28">
        <v>50000</v>
      </c>
      <c r="H21" s="23">
        <v>1854</v>
      </c>
      <c r="I21" s="23">
        <v>25</v>
      </c>
      <c r="J21" s="23">
        <f>+G21*J9</f>
        <v>1435</v>
      </c>
      <c r="K21" s="21">
        <f>+G21*K9</f>
        <v>3549.9999999999995</v>
      </c>
      <c r="L21" s="23">
        <v>600</v>
      </c>
      <c r="M21" s="26">
        <f>+G21*M9</f>
        <v>1520</v>
      </c>
      <c r="N21" s="23">
        <f>+G21*N9</f>
        <v>3545.0000000000005</v>
      </c>
      <c r="O21" s="23">
        <f>24653.79-25</f>
        <v>24628.79</v>
      </c>
      <c r="P21" s="23">
        <f>J21+L21</f>
        <v>2035</v>
      </c>
      <c r="Q21" s="24">
        <f>+H21+I21+J21+M21+O21</f>
        <v>29462.79</v>
      </c>
      <c r="R21" s="22">
        <f>+K21+N21</f>
        <v>7095</v>
      </c>
      <c r="S21" s="30">
        <f>+G21-Q21</f>
        <v>20537.21</v>
      </c>
      <c r="T21" s="25">
        <v>111</v>
      </c>
    </row>
    <row r="22" spans="1:178" s="11" customFormat="1" ht="27" customHeight="1" x14ac:dyDescent="0.45">
      <c r="A22" s="19"/>
      <c r="B22" s="33"/>
      <c r="C22" s="25"/>
      <c r="D22" s="25"/>
      <c r="E22" s="25"/>
      <c r="F22" s="25"/>
      <c r="G22" s="21"/>
      <c r="H22" s="23"/>
      <c r="I22" s="23"/>
      <c r="J22" s="23"/>
      <c r="K22" s="21"/>
      <c r="L22" s="23"/>
      <c r="M22" s="26"/>
      <c r="N22" s="23"/>
      <c r="O22" s="23"/>
      <c r="P22" s="23"/>
      <c r="Q22" s="24"/>
      <c r="R22" s="22"/>
      <c r="S22" s="23"/>
      <c r="T22" s="25"/>
    </row>
    <row r="23" spans="1:178" s="11" customFormat="1" ht="27" customHeight="1" x14ac:dyDescent="0.45">
      <c r="A23" s="66" t="s">
        <v>87</v>
      </c>
      <c r="B23" s="66"/>
      <c r="C23" s="66"/>
      <c r="D23" s="66"/>
      <c r="E23" s="20"/>
      <c r="F23" s="20"/>
      <c r="G23" s="21"/>
      <c r="H23" s="22"/>
      <c r="I23" s="23"/>
      <c r="J23" s="23"/>
      <c r="K23" s="21"/>
      <c r="L23" s="23"/>
      <c r="M23" s="22"/>
      <c r="N23" s="23"/>
      <c r="O23" s="23"/>
      <c r="P23" s="23"/>
      <c r="Q23" s="24"/>
      <c r="R23" s="22"/>
      <c r="S23" s="23"/>
      <c r="T23" s="25"/>
    </row>
    <row r="24" spans="1:178" s="11" customFormat="1" ht="27" customHeight="1" x14ac:dyDescent="0.45">
      <c r="A24" s="58"/>
      <c r="B24" s="27"/>
      <c r="C24" s="27"/>
      <c r="D24" s="25"/>
      <c r="E24" s="20"/>
      <c r="F24" s="20"/>
      <c r="G24" s="21"/>
      <c r="H24" s="22"/>
      <c r="I24" s="23"/>
      <c r="J24" s="23"/>
      <c r="K24" s="21"/>
      <c r="L24" s="23"/>
      <c r="M24" s="22"/>
      <c r="N24" s="23"/>
      <c r="O24" s="23"/>
      <c r="P24" s="23"/>
      <c r="Q24" s="24"/>
      <c r="R24" s="22"/>
      <c r="S24" s="23"/>
      <c r="T24" s="25"/>
    </row>
    <row r="25" spans="1:178" s="11" customFormat="1" ht="27" customHeight="1" x14ac:dyDescent="0.45">
      <c r="A25" s="19">
        <v>9</v>
      </c>
      <c r="B25" s="33" t="s">
        <v>37</v>
      </c>
      <c r="C25" s="19" t="s">
        <v>53</v>
      </c>
      <c r="D25" s="19" t="s">
        <v>101</v>
      </c>
      <c r="E25" s="19" t="s">
        <v>27</v>
      </c>
      <c r="F25" s="19" t="s">
        <v>84</v>
      </c>
      <c r="G25" s="28">
        <v>50000</v>
      </c>
      <c r="H25" s="23">
        <v>1854</v>
      </c>
      <c r="I25" s="23">
        <v>25</v>
      </c>
      <c r="J25" s="23">
        <f>+G25*J9</f>
        <v>1435</v>
      </c>
      <c r="K25" s="21">
        <f>+G25*K9</f>
        <v>3549.9999999999995</v>
      </c>
      <c r="L25" s="23">
        <v>600</v>
      </c>
      <c r="M25" s="22">
        <f>+G25*M9</f>
        <v>1520</v>
      </c>
      <c r="N25" s="23">
        <f>+G25*N9</f>
        <v>3545.0000000000005</v>
      </c>
      <c r="O25" s="23">
        <f>18510-25</f>
        <v>18485</v>
      </c>
      <c r="P25" s="23">
        <f>J25+M25</f>
        <v>2955</v>
      </c>
      <c r="Q25" s="24">
        <f>+H25+I25+J25+M25+O25</f>
        <v>23319</v>
      </c>
      <c r="R25" s="22">
        <f>K25+N25</f>
        <v>7095</v>
      </c>
      <c r="S25" s="30">
        <f>+G25-Q25</f>
        <v>26681</v>
      </c>
      <c r="T25" s="25">
        <v>111</v>
      </c>
    </row>
    <row r="26" spans="1:178" s="11" customFormat="1" ht="27" customHeight="1" thickBot="1" x14ac:dyDescent="0.5">
      <c r="A26" s="19"/>
      <c r="B26" s="33"/>
      <c r="C26" s="25"/>
      <c r="D26" s="25"/>
      <c r="E26" s="25"/>
      <c r="F26" s="25"/>
      <c r="G26" s="21"/>
      <c r="H26" s="23"/>
      <c r="I26" s="23"/>
      <c r="J26" s="23"/>
      <c r="K26" s="21"/>
      <c r="L26" s="23"/>
      <c r="M26" s="22"/>
      <c r="N26" s="23"/>
      <c r="O26" s="23"/>
      <c r="P26" s="23"/>
      <c r="Q26" s="24"/>
      <c r="R26" s="22"/>
      <c r="S26" s="23"/>
      <c r="T26" s="25"/>
    </row>
    <row r="27" spans="1:178" s="34" customFormat="1" ht="27" customHeight="1" thickBot="1" x14ac:dyDescent="0.5">
      <c r="A27" s="66" t="s">
        <v>54</v>
      </c>
      <c r="B27" s="66"/>
      <c r="C27" s="66"/>
      <c r="D27" s="66"/>
      <c r="E27" s="25"/>
      <c r="F27" s="25"/>
      <c r="G27" s="21"/>
      <c r="H27" s="23"/>
      <c r="I27" s="23"/>
      <c r="J27" s="23"/>
      <c r="K27" s="21"/>
      <c r="L27" s="23"/>
      <c r="M27" s="23"/>
      <c r="N27" s="23"/>
      <c r="O27" s="23"/>
      <c r="P27" s="23"/>
      <c r="Q27" s="24"/>
      <c r="R27" s="22"/>
      <c r="S27" s="23"/>
      <c r="T27" s="25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</row>
    <row r="28" spans="1:178" s="11" customFormat="1" ht="27" customHeight="1" x14ac:dyDescent="0.45">
      <c r="A28" s="27"/>
      <c r="B28" s="27"/>
      <c r="C28" s="27"/>
      <c r="D28" s="25"/>
      <c r="E28" s="25"/>
      <c r="F28" s="25"/>
      <c r="G28" s="21"/>
      <c r="H28" s="23"/>
      <c r="I28" s="23"/>
      <c r="J28" s="23"/>
      <c r="K28" s="21"/>
      <c r="L28" s="23"/>
      <c r="M28" s="23"/>
      <c r="N28" s="23"/>
      <c r="O28" s="23"/>
      <c r="P28" s="23"/>
      <c r="Q28" s="24"/>
      <c r="R28" s="22"/>
      <c r="S28" s="23"/>
      <c r="T28" s="25"/>
    </row>
    <row r="29" spans="1:178" s="11" customFormat="1" ht="27" customHeight="1" x14ac:dyDescent="0.45">
      <c r="A29" s="19">
        <v>10</v>
      </c>
      <c r="B29" s="25" t="s">
        <v>25</v>
      </c>
      <c r="C29" s="19" t="s">
        <v>52</v>
      </c>
      <c r="D29" s="19" t="s">
        <v>50</v>
      </c>
      <c r="E29" s="19" t="s">
        <v>26</v>
      </c>
      <c r="F29" s="19" t="s">
        <v>84</v>
      </c>
      <c r="G29" s="28">
        <v>75000</v>
      </c>
      <c r="H29" s="23">
        <v>5925.42</v>
      </c>
      <c r="I29" s="23">
        <v>25</v>
      </c>
      <c r="J29" s="23">
        <f>+G29*J9</f>
        <v>2152.5</v>
      </c>
      <c r="K29" s="21">
        <f>G29*K9</f>
        <v>5324.9999999999991</v>
      </c>
      <c r="L29" s="23">
        <v>900</v>
      </c>
      <c r="M29" s="23">
        <f>+G29*M9</f>
        <v>2280</v>
      </c>
      <c r="N29" s="23">
        <f>G29*N9</f>
        <v>5317.5</v>
      </c>
      <c r="O29" s="23">
        <f>18021.52-25</f>
        <v>17996.52</v>
      </c>
      <c r="P29" s="23">
        <v>13726.05</v>
      </c>
      <c r="Q29" s="24">
        <f t="shared" ref="Q29:Q35" si="6">+H29+I29+J29+M29+O29</f>
        <v>28379.440000000002</v>
      </c>
      <c r="R29" s="22">
        <f t="shared" ref="R29:R33" si="7">K29+N29</f>
        <v>10642.5</v>
      </c>
      <c r="S29" s="30">
        <f t="shared" ref="S29:S31" si="8">G29-Q29</f>
        <v>46620.56</v>
      </c>
      <c r="T29" s="25">
        <v>111</v>
      </c>
    </row>
    <row r="30" spans="1:178" s="11" customFormat="1" ht="27" customHeight="1" x14ac:dyDescent="0.45">
      <c r="A30" s="19">
        <v>11</v>
      </c>
      <c r="B30" s="25" t="s">
        <v>32</v>
      </c>
      <c r="C30" s="19" t="s">
        <v>52</v>
      </c>
      <c r="D30" s="19" t="s">
        <v>104</v>
      </c>
      <c r="E30" s="19" t="s">
        <v>26</v>
      </c>
      <c r="F30" s="19" t="s">
        <v>84</v>
      </c>
      <c r="G30" s="28">
        <v>50000</v>
      </c>
      <c r="H30" s="23">
        <v>1566.03</v>
      </c>
      <c r="I30" s="23">
        <v>25</v>
      </c>
      <c r="J30" s="23">
        <f>+G30*J9</f>
        <v>1435</v>
      </c>
      <c r="K30" s="21">
        <f>G30*K9</f>
        <v>3549.9999999999995</v>
      </c>
      <c r="L30" s="23">
        <v>600</v>
      </c>
      <c r="M30" s="23">
        <f>+G30*M9</f>
        <v>1520</v>
      </c>
      <c r="N30" s="23">
        <f>G30*N9</f>
        <v>3545.0000000000005</v>
      </c>
      <c r="O30" s="23">
        <f>19713.88-25</f>
        <v>19688.88</v>
      </c>
      <c r="P30" s="23">
        <v>9044.4639999999999</v>
      </c>
      <c r="Q30" s="24">
        <f t="shared" si="6"/>
        <v>24234.91</v>
      </c>
      <c r="R30" s="22">
        <f t="shared" si="7"/>
        <v>7095</v>
      </c>
      <c r="S30" s="30">
        <f t="shared" si="8"/>
        <v>25765.09</v>
      </c>
      <c r="T30" s="25">
        <v>111</v>
      </c>
    </row>
    <row r="31" spans="1:178" s="11" customFormat="1" ht="27" customHeight="1" x14ac:dyDescent="0.45">
      <c r="A31" s="19">
        <v>12</v>
      </c>
      <c r="B31" s="25" t="s">
        <v>36</v>
      </c>
      <c r="C31" s="19" t="s">
        <v>52</v>
      </c>
      <c r="D31" s="19" t="s">
        <v>108</v>
      </c>
      <c r="E31" s="19" t="s">
        <v>26</v>
      </c>
      <c r="F31" s="19" t="s">
        <v>84</v>
      </c>
      <c r="G31" s="28">
        <v>50000</v>
      </c>
      <c r="H31" s="23">
        <v>0</v>
      </c>
      <c r="I31" s="23">
        <v>25</v>
      </c>
      <c r="J31" s="23">
        <f>+G31*J9</f>
        <v>1435</v>
      </c>
      <c r="K31" s="21">
        <f>G31*K9</f>
        <v>3549.9999999999995</v>
      </c>
      <c r="L31" s="23">
        <v>600</v>
      </c>
      <c r="M31" s="22">
        <f>+G31*M9</f>
        <v>1520</v>
      </c>
      <c r="N31" s="23">
        <f>G31*N9</f>
        <v>3545.0000000000005</v>
      </c>
      <c r="O31" s="23">
        <f>35355.17-25</f>
        <v>35330.17</v>
      </c>
      <c r="P31" s="23">
        <v>5300</v>
      </c>
      <c r="Q31" s="24">
        <f t="shared" si="6"/>
        <v>38310.17</v>
      </c>
      <c r="R31" s="22">
        <f t="shared" si="7"/>
        <v>7095</v>
      </c>
      <c r="S31" s="30">
        <f t="shared" si="8"/>
        <v>11689.830000000002</v>
      </c>
      <c r="T31" s="25">
        <v>111</v>
      </c>
    </row>
    <row r="32" spans="1:178" s="11" customFormat="1" ht="27" customHeight="1" x14ac:dyDescent="0.45">
      <c r="A32" s="19">
        <v>13</v>
      </c>
      <c r="B32" s="25" t="s">
        <v>67</v>
      </c>
      <c r="C32" s="19" t="s">
        <v>52</v>
      </c>
      <c r="D32" s="19" t="s">
        <v>35</v>
      </c>
      <c r="E32" s="19" t="s">
        <v>49</v>
      </c>
      <c r="F32" s="19" t="s">
        <v>85</v>
      </c>
      <c r="G32" s="28">
        <v>22000</v>
      </c>
      <c r="H32" s="23">
        <v>0</v>
      </c>
      <c r="I32" s="23">
        <v>25</v>
      </c>
      <c r="J32" s="23">
        <f>+G32*J9</f>
        <v>631.4</v>
      </c>
      <c r="K32" s="21">
        <f>G32*K9</f>
        <v>1561.9999999999998</v>
      </c>
      <c r="L32" s="23">
        <v>264</v>
      </c>
      <c r="M32" s="22">
        <f>G32*M9</f>
        <v>668.8</v>
      </c>
      <c r="N32" s="23">
        <v>1559.8</v>
      </c>
      <c r="O32" s="23">
        <f>12205.44-25</f>
        <v>12180.44</v>
      </c>
      <c r="P32" s="23">
        <v>4260</v>
      </c>
      <c r="Q32" s="24">
        <f t="shared" si="6"/>
        <v>13505.64</v>
      </c>
      <c r="R32" s="22">
        <v>3078</v>
      </c>
      <c r="S32" s="30">
        <f>G32-Q32</f>
        <v>8494.36</v>
      </c>
      <c r="T32" s="25">
        <v>111</v>
      </c>
    </row>
    <row r="33" spans="1:20" s="11" customFormat="1" ht="27" customHeight="1" x14ac:dyDescent="0.45">
      <c r="A33" s="19">
        <v>14</v>
      </c>
      <c r="B33" s="25" t="s">
        <v>76</v>
      </c>
      <c r="C33" s="19" t="s">
        <v>52</v>
      </c>
      <c r="D33" s="19" t="s">
        <v>33</v>
      </c>
      <c r="E33" s="19" t="s">
        <v>49</v>
      </c>
      <c r="F33" s="19" t="s">
        <v>84</v>
      </c>
      <c r="G33" s="28">
        <v>21000</v>
      </c>
      <c r="H33" s="23">
        <v>0</v>
      </c>
      <c r="I33" s="23">
        <v>25</v>
      </c>
      <c r="J33" s="23">
        <f>+G33*J9</f>
        <v>602.70000000000005</v>
      </c>
      <c r="K33" s="21">
        <f>+G33*K9</f>
        <v>1490.9999999999998</v>
      </c>
      <c r="L33" s="23">
        <v>252</v>
      </c>
      <c r="M33" s="22">
        <f>+G33*M9</f>
        <v>638.4</v>
      </c>
      <c r="N33" s="23">
        <v>1247.8399999999999</v>
      </c>
      <c r="O33" s="23">
        <f>6455-25</f>
        <v>6430</v>
      </c>
      <c r="P33" s="23">
        <f t="shared" ref="P33" si="9">J33+M33</f>
        <v>1241.0999999999999</v>
      </c>
      <c r="Q33" s="24">
        <f t="shared" si="6"/>
        <v>7696.1</v>
      </c>
      <c r="R33" s="22">
        <f t="shared" si="7"/>
        <v>2738.8399999999997</v>
      </c>
      <c r="S33" s="30">
        <f t="shared" ref="S33" si="10">G33-Q33</f>
        <v>13303.9</v>
      </c>
      <c r="T33" s="25">
        <v>111</v>
      </c>
    </row>
    <row r="34" spans="1:20" s="11" customFormat="1" ht="27" customHeight="1" x14ac:dyDescent="0.45">
      <c r="A34" s="19">
        <v>15</v>
      </c>
      <c r="B34" s="25" t="s">
        <v>106</v>
      </c>
      <c r="C34" s="19" t="s">
        <v>52</v>
      </c>
      <c r="D34" s="19" t="s">
        <v>33</v>
      </c>
      <c r="E34" s="19" t="s">
        <v>49</v>
      </c>
      <c r="F34" s="19" t="s">
        <v>84</v>
      </c>
      <c r="G34" s="28">
        <v>17000</v>
      </c>
      <c r="H34" s="23">
        <v>0</v>
      </c>
      <c r="I34" s="23">
        <v>25</v>
      </c>
      <c r="J34" s="23">
        <f>+G34*J9</f>
        <v>487.9</v>
      </c>
      <c r="K34" s="21">
        <f>+G34*K9</f>
        <v>1207</v>
      </c>
      <c r="L34" s="23">
        <v>204</v>
      </c>
      <c r="M34" s="22">
        <f>+G34*M9</f>
        <v>516.79999999999995</v>
      </c>
      <c r="N34" s="23">
        <v>1205.3</v>
      </c>
      <c r="O34" s="23">
        <f>4024.24-25</f>
        <v>3999.24</v>
      </c>
      <c r="P34" s="23">
        <f t="shared" ref="P34:P35" si="11">J34+M34</f>
        <v>1004.6999999999999</v>
      </c>
      <c r="Q34" s="24">
        <f t="shared" si="6"/>
        <v>5028.9399999999996</v>
      </c>
      <c r="R34" s="22">
        <f t="shared" ref="R34:R35" si="12">K34+N34</f>
        <v>2412.3000000000002</v>
      </c>
      <c r="S34" s="30">
        <f t="shared" ref="S34:S35" si="13">G34-Q34</f>
        <v>11971.060000000001</v>
      </c>
      <c r="T34" s="25">
        <v>111</v>
      </c>
    </row>
    <row r="35" spans="1:20" s="11" customFormat="1" ht="27" customHeight="1" x14ac:dyDescent="0.45">
      <c r="A35" s="19">
        <v>16</v>
      </c>
      <c r="B35" s="25" t="s">
        <v>113</v>
      </c>
      <c r="C35" s="19" t="s">
        <v>52</v>
      </c>
      <c r="D35" s="19" t="s">
        <v>104</v>
      </c>
      <c r="E35" s="19" t="s">
        <v>26</v>
      </c>
      <c r="F35" s="19" t="s">
        <v>85</v>
      </c>
      <c r="G35" s="28">
        <v>40000</v>
      </c>
      <c r="H35" s="23">
        <v>442.65</v>
      </c>
      <c r="I35" s="23">
        <v>25</v>
      </c>
      <c r="J35" s="23">
        <f>+G35*J9</f>
        <v>1148</v>
      </c>
      <c r="K35" s="21">
        <f>+G35*K9</f>
        <v>2839.9999999999995</v>
      </c>
      <c r="L35" s="23">
        <v>480</v>
      </c>
      <c r="M35" s="22">
        <f>+G35*M9</f>
        <v>1216</v>
      </c>
      <c r="N35" s="23">
        <f>+G35*N9</f>
        <v>2836</v>
      </c>
      <c r="O35" s="23">
        <f>2582.16-25</f>
        <v>2557.16</v>
      </c>
      <c r="P35" s="23">
        <f t="shared" si="11"/>
        <v>2364</v>
      </c>
      <c r="Q35" s="24">
        <f t="shared" si="6"/>
        <v>5388.8099999999995</v>
      </c>
      <c r="R35" s="22">
        <f t="shared" si="12"/>
        <v>5676</v>
      </c>
      <c r="S35" s="30">
        <f t="shared" si="13"/>
        <v>34611.19</v>
      </c>
      <c r="T35" s="25">
        <v>111</v>
      </c>
    </row>
    <row r="36" spans="1:20" s="11" customFormat="1" ht="27" customHeight="1" x14ac:dyDescent="0.45">
      <c r="A36" s="19"/>
      <c r="B36" s="25"/>
      <c r="C36" s="25"/>
      <c r="D36" s="25"/>
      <c r="E36" s="25"/>
      <c r="F36" s="25"/>
      <c r="G36" s="21"/>
      <c r="H36" s="23"/>
      <c r="I36" s="23"/>
      <c r="J36" s="23"/>
      <c r="K36" s="21"/>
      <c r="L36" s="23"/>
      <c r="M36" s="22"/>
      <c r="N36" s="23"/>
      <c r="O36" s="23"/>
      <c r="P36" s="23"/>
      <c r="Q36" s="24"/>
      <c r="R36" s="22"/>
      <c r="S36" s="23"/>
      <c r="T36" s="25"/>
    </row>
    <row r="37" spans="1:20" s="11" customFormat="1" ht="27" customHeight="1" x14ac:dyDescent="0.45">
      <c r="A37" s="66" t="s">
        <v>88</v>
      </c>
      <c r="B37" s="66"/>
      <c r="C37" s="66"/>
      <c r="D37" s="66"/>
      <c r="E37" s="25"/>
      <c r="F37" s="25"/>
      <c r="G37" s="21"/>
      <c r="H37" s="23"/>
      <c r="I37" s="23"/>
      <c r="J37" s="23"/>
      <c r="K37" s="21"/>
      <c r="L37" s="23"/>
      <c r="M37" s="23"/>
      <c r="N37" s="23"/>
      <c r="O37" s="23"/>
      <c r="P37" s="23"/>
      <c r="Q37" s="24"/>
      <c r="R37" s="22"/>
      <c r="S37" s="23"/>
      <c r="T37" s="25"/>
    </row>
    <row r="38" spans="1:20" s="11" customFormat="1" ht="27" customHeight="1" x14ac:dyDescent="0.45">
      <c r="A38" s="19">
        <v>17</v>
      </c>
      <c r="B38" s="25" t="s">
        <v>105</v>
      </c>
      <c r="C38" s="19" t="s">
        <v>91</v>
      </c>
      <c r="D38" s="19" t="s">
        <v>107</v>
      </c>
      <c r="E38" s="19" t="s">
        <v>26</v>
      </c>
      <c r="F38" s="19" t="s">
        <v>84</v>
      </c>
      <c r="G38" s="28">
        <v>55000</v>
      </c>
      <c r="H38" s="23">
        <v>2559.6799999999998</v>
      </c>
      <c r="I38" s="23">
        <v>25</v>
      </c>
      <c r="J38" s="23">
        <v>1578.5</v>
      </c>
      <c r="K38" s="21">
        <v>3905</v>
      </c>
      <c r="L38" s="23">
        <v>660</v>
      </c>
      <c r="M38" s="23">
        <v>1672</v>
      </c>
      <c r="N38" s="23">
        <v>3899.5</v>
      </c>
      <c r="O38" s="23">
        <f>225-25</f>
        <v>200</v>
      </c>
      <c r="P38" s="23">
        <v>9044.4639999999999</v>
      </c>
      <c r="Q38" s="24">
        <f>+H38+I38+J38+M38+O38</f>
        <v>6035.18</v>
      </c>
      <c r="R38" s="22">
        <f t="shared" ref="R38" si="14">K38+N38</f>
        <v>7804.5</v>
      </c>
      <c r="S38" s="30">
        <f t="shared" ref="S38" si="15">G38-Q38</f>
        <v>48964.82</v>
      </c>
      <c r="T38" s="25">
        <v>111</v>
      </c>
    </row>
    <row r="39" spans="1:20" s="11" customFormat="1" ht="27" customHeight="1" x14ac:dyDescent="0.45">
      <c r="A39" s="19"/>
      <c r="B39" s="25"/>
      <c r="C39" s="25"/>
      <c r="D39" s="25"/>
      <c r="E39" s="25"/>
      <c r="F39" s="25"/>
      <c r="G39" s="21"/>
      <c r="H39" s="23"/>
      <c r="I39" s="23"/>
      <c r="J39" s="23"/>
      <c r="K39" s="21"/>
      <c r="L39" s="23"/>
      <c r="M39" s="23"/>
      <c r="N39" s="23"/>
      <c r="O39" s="23"/>
      <c r="P39" s="23"/>
      <c r="Q39" s="24"/>
      <c r="R39" s="22"/>
      <c r="S39" s="23"/>
      <c r="T39" s="25"/>
    </row>
    <row r="40" spans="1:20" s="11" customFormat="1" ht="27" customHeight="1" x14ac:dyDescent="0.45">
      <c r="A40" s="66" t="s">
        <v>58</v>
      </c>
      <c r="B40" s="66"/>
      <c r="C40" s="66"/>
      <c r="D40" s="66"/>
      <c r="E40" s="25"/>
      <c r="F40" s="25"/>
      <c r="G40" s="21"/>
      <c r="H40" s="23"/>
      <c r="I40" s="23"/>
      <c r="J40" s="23"/>
      <c r="K40" s="21"/>
      <c r="L40" s="23"/>
      <c r="M40" s="23"/>
      <c r="N40" s="23"/>
      <c r="O40" s="23"/>
      <c r="P40" s="23"/>
      <c r="Q40" s="24"/>
      <c r="R40" s="22"/>
      <c r="S40" s="23"/>
      <c r="T40" s="25"/>
    </row>
    <row r="41" spans="1:20" s="11" customFormat="1" ht="27" customHeight="1" x14ac:dyDescent="0.45">
      <c r="A41" s="27"/>
      <c r="B41" s="27"/>
      <c r="C41" s="27"/>
      <c r="D41" s="25"/>
      <c r="E41" s="25"/>
      <c r="F41" s="25"/>
      <c r="G41" s="21"/>
      <c r="H41" s="23"/>
      <c r="I41" s="23"/>
      <c r="J41" s="23"/>
      <c r="K41" s="21"/>
      <c r="L41" s="23"/>
      <c r="M41" s="23"/>
      <c r="N41" s="23"/>
      <c r="O41" s="23"/>
      <c r="P41" s="23"/>
      <c r="Q41" s="24"/>
      <c r="R41" s="22"/>
      <c r="S41" s="23"/>
      <c r="T41" s="25"/>
    </row>
    <row r="42" spans="1:20" s="11" customFormat="1" ht="27" customHeight="1" x14ac:dyDescent="0.45">
      <c r="A42" s="19">
        <v>18</v>
      </c>
      <c r="B42" s="25" t="s">
        <v>55</v>
      </c>
      <c r="C42" s="19" t="s">
        <v>40</v>
      </c>
      <c r="D42" s="19" t="s">
        <v>40</v>
      </c>
      <c r="E42" s="19" t="s">
        <v>26</v>
      </c>
      <c r="F42" s="19" t="s">
        <v>85</v>
      </c>
      <c r="G42" s="28">
        <v>137000</v>
      </c>
      <c r="H42" s="23">
        <v>20808.689999999999</v>
      </c>
      <c r="I42" s="23">
        <v>25</v>
      </c>
      <c r="J42" s="23">
        <f>+G42*J9</f>
        <v>3931.9</v>
      </c>
      <c r="K42" s="21">
        <f>+G42*K9</f>
        <v>9727</v>
      </c>
      <c r="L42" s="23">
        <v>1114.7</v>
      </c>
      <c r="M42" s="23">
        <f>+G42*M9</f>
        <v>4164.8</v>
      </c>
      <c r="N42" s="23">
        <f>+G42*N9</f>
        <v>9713.3000000000011</v>
      </c>
      <c r="O42" s="23">
        <f>82320.19-25</f>
        <v>82295.19</v>
      </c>
      <c r="P42" s="23">
        <v>20588.750791999999</v>
      </c>
      <c r="Q42" s="24">
        <f>+H42+I42+J42+M42+O42</f>
        <v>111225.58</v>
      </c>
      <c r="R42" s="22">
        <f>K42+N42</f>
        <v>19440.300000000003</v>
      </c>
      <c r="S42" s="30">
        <f>G42-Q42</f>
        <v>25774.42</v>
      </c>
      <c r="T42" s="25">
        <v>111</v>
      </c>
    </row>
    <row r="43" spans="1:20" s="11" customFormat="1" ht="27" customHeight="1" x14ac:dyDescent="0.45">
      <c r="A43" s="19">
        <v>19</v>
      </c>
      <c r="B43" s="25" t="s">
        <v>30</v>
      </c>
      <c r="C43" s="19" t="s">
        <v>94</v>
      </c>
      <c r="D43" s="19" t="s">
        <v>31</v>
      </c>
      <c r="E43" s="19" t="s">
        <v>26</v>
      </c>
      <c r="F43" s="19" t="s">
        <v>84</v>
      </c>
      <c r="G43" s="28">
        <v>102866.5</v>
      </c>
      <c r="H43" s="23">
        <v>12779.64</v>
      </c>
      <c r="I43" s="23">
        <v>25</v>
      </c>
      <c r="J43" s="23">
        <f>+G43*J9</f>
        <v>2952.2685499999998</v>
      </c>
      <c r="K43" s="21">
        <f>+G43*K9</f>
        <v>7303.5214999999989</v>
      </c>
      <c r="L43" s="23">
        <v>1114.7</v>
      </c>
      <c r="M43" s="23">
        <f>+G43*M9</f>
        <v>3127.1415999999999</v>
      </c>
      <c r="N43" s="23">
        <f>+G43*N9</f>
        <v>7293.2348500000007</v>
      </c>
      <c r="O43" s="23">
        <f>23431.06-25</f>
        <v>23406.06</v>
      </c>
      <c r="P43" s="23">
        <v>13401.136500000001</v>
      </c>
      <c r="Q43" s="24">
        <f>+H43+I43+J43+M43+O43</f>
        <v>42290.11015</v>
      </c>
      <c r="R43" s="22">
        <f>K43+N43</f>
        <v>14596.75635</v>
      </c>
      <c r="S43" s="30">
        <f>G43-Q43</f>
        <v>60576.38985</v>
      </c>
      <c r="T43" s="25"/>
    </row>
    <row r="44" spans="1:20" s="11" customFormat="1" ht="27" customHeight="1" x14ac:dyDescent="0.45">
      <c r="A44" s="19"/>
      <c r="B44" s="25"/>
      <c r="C44" s="19"/>
      <c r="D44" s="19"/>
      <c r="E44" s="19"/>
      <c r="F44" s="19"/>
      <c r="G44" s="21"/>
      <c r="H44" s="23"/>
      <c r="I44" s="23"/>
      <c r="J44" s="23"/>
      <c r="K44" s="21"/>
      <c r="L44" s="23"/>
      <c r="M44" s="23"/>
      <c r="N44" s="23"/>
      <c r="O44" s="23"/>
      <c r="P44" s="23"/>
      <c r="Q44" s="24"/>
      <c r="R44" s="22"/>
      <c r="S44" s="23"/>
      <c r="T44" s="25"/>
    </row>
    <row r="45" spans="1:20" s="11" customFormat="1" ht="27" customHeight="1" x14ac:dyDescent="0.45">
      <c r="A45" s="75" t="s">
        <v>69</v>
      </c>
      <c r="B45" s="75"/>
      <c r="C45" s="75"/>
      <c r="D45" s="75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s="11" customFormat="1" ht="27" customHeight="1" x14ac:dyDescent="0.45">
      <c r="A46" s="1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0" s="11" customFormat="1" ht="27" customHeight="1" x14ac:dyDescent="0.45">
      <c r="A47" s="19">
        <v>20</v>
      </c>
      <c r="B47" s="25" t="s">
        <v>29</v>
      </c>
      <c r="C47" s="19" t="s">
        <v>43</v>
      </c>
      <c r="D47" s="19" t="s">
        <v>44</v>
      </c>
      <c r="E47" s="19" t="s">
        <v>27</v>
      </c>
      <c r="F47" s="19" t="s">
        <v>85</v>
      </c>
      <c r="G47" s="28">
        <v>137000</v>
      </c>
      <c r="H47" s="23">
        <v>20808.689999999999</v>
      </c>
      <c r="I47" s="23">
        <v>25</v>
      </c>
      <c r="J47" s="23">
        <f>+G47*J9</f>
        <v>3931.9</v>
      </c>
      <c r="K47" s="21">
        <f>G47*K9</f>
        <v>9727</v>
      </c>
      <c r="L47" s="23">
        <v>1114.7</v>
      </c>
      <c r="M47" s="23">
        <f>+G47*M9</f>
        <v>4164.8</v>
      </c>
      <c r="N47" s="23">
        <f>G47*N9</f>
        <v>9713.3000000000011</v>
      </c>
      <c r="O47" s="23">
        <f>11721-25</f>
        <v>11696</v>
      </c>
      <c r="P47" s="23">
        <v>20588.750791999999</v>
      </c>
      <c r="Q47" s="24">
        <f>+H47+I47+J47+M47+O47</f>
        <v>40626.39</v>
      </c>
      <c r="R47" s="22">
        <f t="shared" ref="R47" si="16">K47+N47</f>
        <v>19440.300000000003</v>
      </c>
      <c r="S47" s="30">
        <f t="shared" ref="S47" si="17">G47-Q47</f>
        <v>96373.61</v>
      </c>
      <c r="T47" s="25">
        <v>111</v>
      </c>
    </row>
    <row r="48" spans="1:20" s="11" customFormat="1" ht="27" customHeight="1" x14ac:dyDescent="0.45">
      <c r="A48" s="35"/>
      <c r="B48" s="25"/>
      <c r="C48" s="25"/>
      <c r="D48" s="25"/>
      <c r="E48" s="20"/>
      <c r="F48" s="20"/>
      <c r="G48" s="21"/>
      <c r="H48" s="23"/>
      <c r="I48" s="23"/>
      <c r="J48" s="23"/>
      <c r="K48" s="21"/>
      <c r="L48" s="23"/>
      <c r="M48" s="22"/>
      <c r="N48" s="23"/>
      <c r="O48" s="23"/>
      <c r="P48" s="23"/>
      <c r="Q48" s="24"/>
      <c r="R48" s="22"/>
      <c r="S48" s="23"/>
      <c r="T48" s="25"/>
    </row>
    <row r="49" spans="1:20" s="11" customFormat="1" ht="27" customHeight="1" x14ac:dyDescent="0.45">
      <c r="A49" s="75" t="s">
        <v>56</v>
      </c>
      <c r="B49" s="75"/>
      <c r="C49" s="75"/>
      <c r="D49" s="75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1:20" s="11" customFormat="1" ht="27" customHeight="1" x14ac:dyDescent="0.4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20" s="11" customFormat="1" ht="27" customHeight="1" x14ac:dyDescent="0.45">
      <c r="A51" s="19">
        <v>21</v>
      </c>
      <c r="B51" s="25" t="s">
        <v>34</v>
      </c>
      <c r="C51" s="19" t="s">
        <v>59</v>
      </c>
      <c r="D51" s="36" t="s">
        <v>57</v>
      </c>
      <c r="E51" s="19" t="s">
        <v>27</v>
      </c>
      <c r="F51" s="19" t="s">
        <v>85</v>
      </c>
      <c r="G51" s="28">
        <v>137000</v>
      </c>
      <c r="H51" s="23">
        <v>20808.689999999999</v>
      </c>
      <c r="I51" s="23">
        <v>25</v>
      </c>
      <c r="J51" s="23">
        <f>+G51*J9</f>
        <v>3931.9</v>
      </c>
      <c r="K51" s="21">
        <f>+G51*K9</f>
        <v>9727</v>
      </c>
      <c r="L51" s="23">
        <v>1114.7</v>
      </c>
      <c r="M51" s="23">
        <f>+G51*M9</f>
        <v>4164.8</v>
      </c>
      <c r="N51" s="23">
        <f>+G51*N9</f>
        <v>9713.3000000000011</v>
      </c>
      <c r="O51" s="23">
        <f>3024.24-25</f>
        <v>2999.24</v>
      </c>
      <c r="P51" s="23">
        <v>20588.750791999999</v>
      </c>
      <c r="Q51" s="24">
        <f>+H51+I51+J51+M51+O51</f>
        <v>31929.629999999997</v>
      </c>
      <c r="R51" s="22">
        <f>K51+N51</f>
        <v>19440.300000000003</v>
      </c>
      <c r="S51" s="30">
        <f>G51-Q51</f>
        <v>105070.37</v>
      </c>
      <c r="T51" s="25">
        <v>111</v>
      </c>
    </row>
    <row r="52" spans="1:20" s="11" customFormat="1" ht="27" customHeight="1" x14ac:dyDescent="0.45">
      <c r="A52" s="19"/>
      <c r="B52" s="25"/>
      <c r="C52" s="25"/>
      <c r="D52" s="25"/>
      <c r="E52" s="20"/>
      <c r="F52" s="20"/>
      <c r="G52" s="21"/>
      <c r="H52" s="23"/>
      <c r="I52" s="23"/>
      <c r="J52" s="23"/>
      <c r="K52" s="21"/>
      <c r="L52" s="23"/>
      <c r="M52" s="23"/>
      <c r="N52" s="23"/>
      <c r="O52" s="23"/>
      <c r="P52" s="23"/>
      <c r="Q52" s="24"/>
      <c r="R52" s="22"/>
      <c r="S52" s="23"/>
      <c r="T52" s="25"/>
    </row>
    <row r="53" spans="1:20" s="11" customFormat="1" ht="27" customHeight="1" x14ac:dyDescent="0.45">
      <c r="A53" s="75" t="s">
        <v>89</v>
      </c>
      <c r="B53" s="75"/>
      <c r="C53" s="75"/>
      <c r="D53" s="75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s="11" customFormat="1" ht="27" customHeight="1" x14ac:dyDescent="0.45">
      <c r="A54" s="19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s="11" customFormat="1" ht="27" customHeight="1" x14ac:dyDescent="0.45">
      <c r="A55" s="19">
        <v>22</v>
      </c>
      <c r="B55" s="25" t="s">
        <v>28</v>
      </c>
      <c r="C55" s="19" t="s">
        <v>100</v>
      </c>
      <c r="D55" s="19" t="s">
        <v>99</v>
      </c>
      <c r="E55" s="19" t="s">
        <v>26</v>
      </c>
      <c r="F55" s="19" t="s">
        <v>85</v>
      </c>
      <c r="G55" s="28">
        <v>137000</v>
      </c>
      <c r="H55" s="23">
        <v>20808.689999999999</v>
      </c>
      <c r="I55" s="23">
        <v>25</v>
      </c>
      <c r="J55" s="23">
        <f>+G55*J9</f>
        <v>3931.9</v>
      </c>
      <c r="K55" s="21">
        <f>+G55*K9</f>
        <v>9727</v>
      </c>
      <c r="L55" s="23">
        <v>1114.7</v>
      </c>
      <c r="M55" s="23">
        <f>+G55*M9</f>
        <v>4164.8</v>
      </c>
      <c r="N55" s="23">
        <f>+G55*N9</f>
        <v>9713.3000000000011</v>
      </c>
      <c r="O55" s="23">
        <f>17556.87-25</f>
        <v>17531.87</v>
      </c>
      <c r="P55" s="23">
        <v>20588.750791999999</v>
      </c>
      <c r="Q55" s="24">
        <f>+H55+I55+J55+M55+O55</f>
        <v>46462.259999999995</v>
      </c>
      <c r="R55" s="22">
        <f>K55+N55</f>
        <v>19440.300000000003</v>
      </c>
      <c r="S55" s="30">
        <f>G55-Q55</f>
        <v>90537.74</v>
      </c>
      <c r="T55" s="25">
        <v>111</v>
      </c>
    </row>
    <row r="56" spans="1:20" s="11" customFormat="1" ht="27" customHeight="1" x14ac:dyDescent="0.45">
      <c r="A56" s="19">
        <v>23</v>
      </c>
      <c r="B56" s="25" t="s">
        <v>109</v>
      </c>
      <c r="C56" s="19" t="s">
        <v>100</v>
      </c>
      <c r="D56" s="19" t="s">
        <v>31</v>
      </c>
      <c r="E56" s="19" t="s">
        <v>26</v>
      </c>
      <c r="F56" s="19" t="s">
        <v>85</v>
      </c>
      <c r="G56" s="28">
        <v>102151.5</v>
      </c>
      <c r="H56" s="23">
        <v>12611.45</v>
      </c>
      <c r="I56" s="23">
        <v>25</v>
      </c>
      <c r="J56" s="23">
        <v>2931.75</v>
      </c>
      <c r="K56" s="21">
        <f>G56*K9</f>
        <v>7252.7564999999995</v>
      </c>
      <c r="L56" s="23">
        <v>1114.7</v>
      </c>
      <c r="M56" s="23">
        <v>3105.41</v>
      </c>
      <c r="N56" s="23">
        <f>G56*N9</f>
        <v>7242.5413500000004</v>
      </c>
      <c r="O56" s="23">
        <f>15133.84-25</f>
        <v>15108.84</v>
      </c>
      <c r="P56" s="23">
        <v>13401.136500000001</v>
      </c>
      <c r="Q56" s="24">
        <f>+H56+I56+J56+M56+O56</f>
        <v>33782.449999999997</v>
      </c>
      <c r="R56" s="22">
        <f>K56+N56</f>
        <v>14495.297849999999</v>
      </c>
      <c r="S56" s="30">
        <f>G56-Q56</f>
        <v>68369.05</v>
      </c>
      <c r="T56" s="25">
        <v>111</v>
      </c>
    </row>
    <row r="57" spans="1:20" s="11" customFormat="1" ht="27" customHeight="1" x14ac:dyDescent="0.45">
      <c r="A57" s="19"/>
      <c r="B57" s="25"/>
      <c r="C57" s="20"/>
      <c r="D57" s="25"/>
      <c r="E57" s="25"/>
      <c r="F57" s="25"/>
      <c r="G57" s="21"/>
      <c r="H57" s="23"/>
      <c r="I57" s="23"/>
      <c r="J57" s="23"/>
      <c r="K57" s="21"/>
      <c r="L57" s="23"/>
      <c r="M57" s="23"/>
      <c r="N57" s="23"/>
      <c r="O57" s="23"/>
      <c r="P57" s="23"/>
      <c r="Q57" s="24"/>
      <c r="R57" s="22"/>
      <c r="S57" s="23"/>
      <c r="T57" s="25"/>
    </row>
    <row r="58" spans="1:20" s="11" customFormat="1" ht="27" customHeight="1" x14ac:dyDescent="0.45">
      <c r="A58" s="66" t="s">
        <v>90</v>
      </c>
      <c r="B58" s="66"/>
      <c r="C58" s="66"/>
      <c r="D58" s="66"/>
      <c r="E58" s="25"/>
      <c r="F58" s="25"/>
      <c r="G58" s="21"/>
      <c r="H58" s="23"/>
      <c r="I58" s="23"/>
      <c r="J58" s="23"/>
      <c r="K58" s="21"/>
      <c r="L58" s="23"/>
      <c r="M58" s="22"/>
      <c r="N58" s="23"/>
      <c r="O58" s="23"/>
      <c r="P58" s="23"/>
      <c r="Q58" s="24"/>
      <c r="R58" s="22"/>
      <c r="S58" s="23"/>
      <c r="T58" s="25"/>
    </row>
    <row r="59" spans="1:20" s="11" customFormat="1" ht="27" customHeight="1" x14ac:dyDescent="0.45">
      <c r="A59" s="19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s="11" customFormat="1" ht="27" customHeight="1" x14ac:dyDescent="0.45">
      <c r="A60" s="35">
        <v>24</v>
      </c>
      <c r="B60" s="33" t="s">
        <v>75</v>
      </c>
      <c r="C60" s="19" t="s">
        <v>92</v>
      </c>
      <c r="D60" s="19" t="s">
        <v>102</v>
      </c>
      <c r="E60" s="19" t="s">
        <v>26</v>
      </c>
      <c r="F60" s="19" t="s">
        <v>84</v>
      </c>
      <c r="G60" s="21">
        <v>167000</v>
      </c>
      <c r="H60" s="21">
        <v>27385.5</v>
      </c>
      <c r="I60" s="21">
        <v>25</v>
      </c>
      <c r="J60" s="21">
        <f>+G60*J9</f>
        <v>4792.8999999999996</v>
      </c>
      <c r="K60" s="21">
        <f>+G60*K9</f>
        <v>11856.999999999998</v>
      </c>
      <c r="L60" s="23">
        <v>1114.7</v>
      </c>
      <c r="M60" s="21">
        <v>5076.8</v>
      </c>
      <c r="N60" s="21">
        <f>+G60*N9</f>
        <v>11840.300000000001</v>
      </c>
      <c r="O60" s="21">
        <f>5404.26-25</f>
        <v>5379.26</v>
      </c>
      <c r="P60" s="21">
        <f>J60+M60</f>
        <v>9869.7000000000007</v>
      </c>
      <c r="Q60" s="21">
        <f>+H60+I60+J60+M60+O60</f>
        <v>42659.460000000006</v>
      </c>
      <c r="R60" s="21">
        <f>J60+M60</f>
        <v>9869.7000000000007</v>
      </c>
      <c r="S60" s="21">
        <f>G60-Q60</f>
        <v>124340.54</v>
      </c>
      <c r="T60" s="33">
        <v>111</v>
      </c>
    </row>
    <row r="61" spans="1:20" s="11" customFormat="1" ht="28.5" x14ac:dyDescent="0.45">
      <c r="A61" s="35"/>
      <c r="B61" s="53" t="s">
        <v>96</v>
      </c>
      <c r="C61" s="20"/>
      <c r="D61" s="33"/>
      <c r="E61" s="33"/>
      <c r="F61" s="33"/>
      <c r="G61" s="28">
        <f>SUM(G11:G60)</f>
        <v>2227871.48</v>
      </c>
      <c r="H61" s="28">
        <f t="shared" ref="H61:S61" si="18">SUM(H11:H60)</f>
        <v>279615.99</v>
      </c>
      <c r="I61" s="28">
        <f t="shared" si="18"/>
        <v>600</v>
      </c>
      <c r="J61" s="28">
        <f t="shared" si="18"/>
        <v>63939.913426000014</v>
      </c>
      <c r="K61" s="28">
        <f t="shared" si="18"/>
        <v>158178.87035999997</v>
      </c>
      <c r="L61" s="28">
        <f t="shared" si="18"/>
        <v>19856.400000000005</v>
      </c>
      <c r="M61" s="28">
        <f t="shared" si="18"/>
        <v>67491.08739200003</v>
      </c>
      <c r="N61" s="28">
        <f t="shared" si="18"/>
        <v>152229.14344400002</v>
      </c>
      <c r="O61" s="28">
        <f t="shared" si="18"/>
        <v>348182.19000000006</v>
      </c>
      <c r="P61" s="28">
        <f t="shared" si="18"/>
        <v>221646.68483600003</v>
      </c>
      <c r="Q61" s="28">
        <f t="shared" si="18"/>
        <v>759829.18081799999</v>
      </c>
      <c r="R61" s="28">
        <f t="shared" si="18"/>
        <v>297651.31380399998</v>
      </c>
      <c r="S61" s="28">
        <f t="shared" si="18"/>
        <v>1468042.2991820001</v>
      </c>
      <c r="T61" s="33" t="s">
        <v>110</v>
      </c>
    </row>
    <row r="62" spans="1:20" s="11" customFormat="1" ht="28.5" x14ac:dyDescent="0.45">
      <c r="A62" s="37"/>
      <c r="B62" s="38"/>
      <c r="C62" s="39"/>
      <c r="D62" s="38"/>
      <c r="E62" s="38"/>
      <c r="F62" s="38"/>
      <c r="G62" s="40"/>
      <c r="H62" s="38"/>
      <c r="I62" s="38"/>
      <c r="J62" s="41"/>
      <c r="K62" s="38"/>
      <c r="L62" s="41"/>
      <c r="M62" s="41"/>
      <c r="N62" s="41"/>
      <c r="O62" s="38"/>
      <c r="P62" s="41"/>
      <c r="Q62" s="42"/>
      <c r="R62" s="43"/>
      <c r="S62" s="41"/>
      <c r="T62" s="38"/>
    </row>
    <row r="63" spans="1:20" s="11" customFormat="1" ht="30" customHeight="1" x14ac:dyDescent="0.45">
      <c r="A63" s="44"/>
      <c r="B63" s="45" t="s">
        <v>48</v>
      </c>
      <c r="C63" s="45"/>
      <c r="D63" s="46"/>
      <c r="E63" s="46"/>
      <c r="F63" s="46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</row>
    <row r="64" spans="1:20" s="11" customFormat="1" ht="30" customHeight="1" x14ac:dyDescent="0.45">
      <c r="B64" s="48" t="s">
        <v>68</v>
      </c>
      <c r="C64" s="48"/>
      <c r="D64" s="48"/>
      <c r="G64" s="49"/>
      <c r="H64" s="49"/>
      <c r="I64" s="49"/>
      <c r="J64" s="50"/>
      <c r="K64" s="50"/>
      <c r="L64" s="50"/>
      <c r="M64" s="50"/>
      <c r="N64" s="50"/>
      <c r="Q64" s="47"/>
      <c r="R64" s="47"/>
      <c r="S64" s="47"/>
      <c r="T64" s="47"/>
    </row>
    <row r="65" spans="2:20" s="11" customFormat="1" ht="30" customHeight="1" x14ac:dyDescent="0.45">
      <c r="B65" s="48" t="s">
        <v>116</v>
      </c>
      <c r="C65" s="48"/>
      <c r="D65" s="48"/>
      <c r="G65" s="49"/>
      <c r="H65" s="49"/>
      <c r="I65" s="49"/>
      <c r="J65" s="50"/>
      <c r="K65" s="50"/>
      <c r="L65" s="50"/>
      <c r="M65" s="50"/>
      <c r="N65" s="50"/>
      <c r="Q65" s="47"/>
      <c r="R65" s="47"/>
      <c r="S65" s="47"/>
      <c r="T65" s="47"/>
    </row>
    <row r="66" spans="2:20" s="11" customFormat="1" ht="30" customHeight="1" x14ac:dyDescent="0.45">
      <c r="B66" s="48" t="s">
        <v>117</v>
      </c>
      <c r="C66" s="48"/>
      <c r="D66" s="48"/>
      <c r="G66" s="49"/>
      <c r="H66" s="49"/>
      <c r="I66" s="49"/>
      <c r="J66" s="50"/>
      <c r="K66" s="50"/>
      <c r="L66" s="50"/>
      <c r="M66" s="50"/>
      <c r="N66" s="50"/>
      <c r="Q66" s="47"/>
      <c r="R66" s="47"/>
      <c r="S66" s="47"/>
      <c r="T66" s="47"/>
    </row>
    <row r="67" spans="2:20" s="11" customFormat="1" ht="30" customHeight="1" x14ac:dyDescent="0.45">
      <c r="B67" s="48" t="s">
        <v>118</v>
      </c>
      <c r="C67" s="48"/>
      <c r="D67" s="48"/>
      <c r="E67" s="48"/>
      <c r="F67" s="48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</row>
    <row r="68" spans="2:20" s="11" customFormat="1" ht="30" customHeight="1" x14ac:dyDescent="0.45">
      <c r="B68" s="48" t="s">
        <v>120</v>
      </c>
      <c r="C68" s="48"/>
      <c r="D68" s="48"/>
      <c r="E68" s="48"/>
      <c r="F68" s="48"/>
      <c r="G68" s="48"/>
      <c r="H68" s="48"/>
      <c r="I68" s="48"/>
      <c r="J68" s="51"/>
      <c r="K68" s="51"/>
      <c r="L68" s="48"/>
      <c r="M68" s="51"/>
      <c r="N68" s="51"/>
      <c r="O68" s="51"/>
      <c r="P68" s="51"/>
      <c r="Q68" s="51"/>
      <c r="R68" s="51"/>
      <c r="S68" s="51"/>
      <c r="T68" s="51"/>
    </row>
    <row r="69" spans="2:20" s="11" customFormat="1" ht="30" customHeight="1" x14ac:dyDescent="0.45">
      <c r="B69" s="48" t="s">
        <v>39</v>
      </c>
      <c r="C69" s="48"/>
      <c r="D69" s="48"/>
      <c r="E69" s="48"/>
      <c r="F69" s="48"/>
      <c r="G69" s="48"/>
      <c r="H69" s="51"/>
      <c r="I69" s="48"/>
      <c r="J69" s="51"/>
      <c r="K69" s="51"/>
      <c r="L69" s="48"/>
      <c r="M69" s="51"/>
      <c r="N69" s="51"/>
      <c r="O69" s="51"/>
      <c r="P69" s="51"/>
      <c r="Q69" s="51"/>
      <c r="R69" s="51"/>
      <c r="S69" s="51"/>
      <c r="T69" s="51"/>
    </row>
    <row r="70" spans="2:20" s="11" customFormat="1" ht="30" customHeight="1" x14ac:dyDescent="0.45">
      <c r="B70" s="48"/>
      <c r="C70" s="48"/>
      <c r="D70" s="48"/>
      <c r="E70" s="48"/>
      <c r="F70" s="48"/>
      <c r="G70" s="48"/>
      <c r="H70" s="51"/>
      <c r="I70" s="48"/>
      <c r="J70" s="51"/>
      <c r="K70" s="51"/>
      <c r="L70" s="48"/>
      <c r="M70" s="51"/>
      <c r="N70" s="51"/>
      <c r="O70" s="51"/>
      <c r="P70" s="51"/>
      <c r="Q70" s="51"/>
      <c r="R70" s="51"/>
      <c r="S70" s="51"/>
      <c r="T70" s="51"/>
    </row>
    <row r="71" spans="2:20" s="11" customFormat="1" ht="30" customHeight="1" x14ac:dyDescent="0.45"/>
    <row r="72" spans="2:20" s="11" customFormat="1" ht="30" customHeight="1" x14ac:dyDescent="0.55000000000000004">
      <c r="B72" s="54" t="s">
        <v>121</v>
      </c>
    </row>
    <row r="73" spans="2:20" s="11" customFormat="1" ht="30" customHeight="1" x14ac:dyDescent="0.55000000000000004">
      <c r="B73" s="54"/>
    </row>
    <row r="74" spans="2:20" s="11" customFormat="1" ht="28.5" x14ac:dyDescent="0.45">
      <c r="B74" s="52"/>
    </row>
    <row r="75" spans="2:20" s="11" customFormat="1" ht="28.5" x14ac:dyDescent="0.45">
      <c r="B75" s="52"/>
    </row>
    <row r="76" spans="2:20" s="11" customFormat="1" ht="28.5" x14ac:dyDescent="0.45">
      <c r="B76" s="52"/>
    </row>
    <row r="77" spans="2:20" s="11" customFormat="1" ht="28.5" x14ac:dyDescent="0.45">
      <c r="B77" s="52"/>
    </row>
    <row r="78" spans="2:20" s="11" customFormat="1" ht="28.5" x14ac:dyDescent="0.45"/>
    <row r="79" spans="2:20" s="11" customFormat="1" ht="28.5" x14ac:dyDescent="0.45"/>
    <row r="80" spans="2:20" s="11" customFormat="1" ht="33.75" x14ac:dyDescent="0.5">
      <c r="B80" s="56" t="s">
        <v>60</v>
      </c>
      <c r="G80" s="72" t="s">
        <v>61</v>
      </c>
      <c r="H80" s="72"/>
      <c r="I80" s="72"/>
      <c r="N80" s="60" t="s">
        <v>97</v>
      </c>
      <c r="O80" s="72" t="s">
        <v>115</v>
      </c>
      <c r="P80" s="72"/>
      <c r="Q80" s="72"/>
      <c r="R80" s="3"/>
      <c r="S80" s="3"/>
    </row>
    <row r="81" spans="2:19" s="11" customFormat="1" ht="33.75" x14ac:dyDescent="0.5">
      <c r="B81" s="3"/>
      <c r="G81" s="3"/>
      <c r="H81" s="3"/>
      <c r="I81" s="3"/>
      <c r="N81" s="3"/>
      <c r="O81" s="3"/>
      <c r="P81" s="3"/>
      <c r="Q81" s="3"/>
      <c r="R81" s="3"/>
      <c r="S81" s="3"/>
    </row>
    <row r="82" spans="2:19" s="11" customFormat="1" ht="33.75" x14ac:dyDescent="0.5">
      <c r="B82" s="3"/>
      <c r="G82" s="3"/>
      <c r="H82" s="3"/>
      <c r="I82" s="3"/>
      <c r="N82" s="3"/>
      <c r="O82" s="3"/>
      <c r="P82" s="3"/>
      <c r="Q82" s="3"/>
      <c r="R82" s="3"/>
      <c r="S82" s="3"/>
    </row>
    <row r="83" spans="2:19" s="11" customFormat="1" ht="33.75" x14ac:dyDescent="0.5">
      <c r="B83" s="56" t="s">
        <v>62</v>
      </c>
      <c r="G83" s="72" t="s">
        <v>63</v>
      </c>
      <c r="H83" s="72"/>
      <c r="I83" s="72"/>
      <c r="N83" s="72" t="s">
        <v>65</v>
      </c>
      <c r="O83" s="72"/>
      <c r="P83" s="72"/>
      <c r="Q83" s="72"/>
      <c r="R83" s="72"/>
      <c r="S83" s="3"/>
    </row>
    <row r="84" spans="2:19" s="11" customFormat="1" ht="33.75" x14ac:dyDescent="0.5">
      <c r="B84" s="55" t="s">
        <v>111</v>
      </c>
      <c r="G84" s="73" t="s">
        <v>114</v>
      </c>
      <c r="H84" s="73"/>
      <c r="I84" s="73"/>
      <c r="N84" s="57"/>
      <c r="O84" s="73" t="s">
        <v>93</v>
      </c>
      <c r="P84" s="73"/>
      <c r="Q84" s="73"/>
      <c r="R84" s="74"/>
      <c r="S84" s="74"/>
    </row>
    <row r="85" spans="2:19" s="11" customFormat="1" ht="33.75" x14ac:dyDescent="0.5">
      <c r="B85" s="56" t="s">
        <v>103</v>
      </c>
      <c r="G85" s="72" t="s">
        <v>64</v>
      </c>
      <c r="H85" s="72"/>
      <c r="I85" s="72"/>
      <c r="N85" s="72" t="s">
        <v>70</v>
      </c>
      <c r="O85" s="72"/>
      <c r="P85" s="72"/>
      <c r="Q85" s="72"/>
      <c r="R85" s="72"/>
      <c r="S85" s="3"/>
    </row>
    <row r="86" spans="2:19" s="11" customFormat="1" ht="28.5" x14ac:dyDescent="0.45"/>
  </sheetData>
  <autoFilter ref="A8:FV17" xr:uid="{00000000-0001-0000-0000-000000000000}"/>
  <mergeCells count="26">
    <mergeCell ref="A37:D37"/>
    <mergeCell ref="A40:D40"/>
    <mergeCell ref="A45:D45"/>
    <mergeCell ref="O84:Q84"/>
    <mergeCell ref="G80:I80"/>
    <mergeCell ref="O80:Q80"/>
    <mergeCell ref="A49:D49"/>
    <mergeCell ref="A53:D53"/>
    <mergeCell ref="A58:D58"/>
    <mergeCell ref="N85:R85"/>
    <mergeCell ref="N83:R83"/>
    <mergeCell ref="G84:I84"/>
    <mergeCell ref="G85:I85"/>
    <mergeCell ref="R84:S84"/>
    <mergeCell ref="G83:I83"/>
    <mergeCell ref="A1:T1"/>
    <mergeCell ref="A5:T5"/>
    <mergeCell ref="A2:T2"/>
    <mergeCell ref="M7:N7"/>
    <mergeCell ref="A27:D27"/>
    <mergeCell ref="A23:D23"/>
    <mergeCell ref="P8:P9"/>
    <mergeCell ref="I8:I9"/>
    <mergeCell ref="G8:G9"/>
    <mergeCell ref="B10:D10"/>
    <mergeCell ref="A19:D1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23" fitToHeight="0" pageOrder="overThenDown" orientation="landscape" r:id="rId1"/>
  <rowBreaks count="1" manualBreakCount="1">
    <brk id="6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2026-06-05T20:15:08Z</cp:lastPrinted>
  <dcterms:created xsi:type="dcterms:W3CDTF">2017-03-16T20:18:07Z</dcterms:created>
  <dcterms:modified xsi:type="dcterms:W3CDTF">2026-06-05T20:15:08Z</dcterms:modified>
</cp:coreProperties>
</file>