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OMPRAS Y CONTRATACIONES\DOCUMENTOS PARA TRANSPARENCIA\NOMINA CONIAF\FIJOS\2026\"/>
    </mc:Choice>
  </mc:AlternateContent>
  <xr:revisionPtr revIDLastSave="0" documentId="13_ncr:1_{2BB5C502-29A8-4ED8-8538-77B76EC7BD1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IJO" sheetId="1" r:id="rId1"/>
  </sheets>
  <definedNames>
    <definedName name="_xlnm._FilterDatabase" localSheetId="0" hidden="1">FIJO!$A$11:$FV$20</definedName>
    <definedName name="_xlnm.Print_Area" localSheetId="0">FIJO!$A$1:$T$93</definedName>
    <definedName name="_xlnm.Print_Titles" localSheetId="0">FIJO!$1:$12</definedName>
  </definedName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33" i="1" l="1"/>
  <c r="O19" i="1"/>
  <c r="O18" i="1"/>
  <c r="O63" i="1" l="1"/>
  <c r="O45" i="1"/>
  <c r="O34" i="1"/>
  <c r="O32" i="1"/>
  <c r="O17" i="1"/>
  <c r="O58" i="1"/>
  <c r="O35" i="1"/>
  <c r="Q38" i="1"/>
  <c r="S38" i="1" s="1"/>
  <c r="P38" i="1"/>
  <c r="N38" i="1"/>
  <c r="M38" i="1"/>
  <c r="M37" i="1"/>
  <c r="M36" i="1"/>
  <c r="M34" i="1"/>
  <c r="M33" i="1"/>
  <c r="M32" i="1"/>
  <c r="M20" i="1"/>
  <c r="K38" i="1"/>
  <c r="R38" i="1" s="1"/>
  <c r="K37" i="1"/>
  <c r="O24" i="1"/>
  <c r="O59" i="1" l="1"/>
  <c r="Q59" i="1" s="1"/>
  <c r="O46" i="1"/>
  <c r="Q34" i="1"/>
  <c r="Q33" i="1"/>
  <c r="Q32" i="1"/>
  <c r="Q19" i="1"/>
  <c r="O54" i="1"/>
  <c r="O50" i="1"/>
  <c r="O41" i="1"/>
  <c r="Q41" i="1"/>
  <c r="S41" i="1" s="1"/>
  <c r="O28" i="1"/>
  <c r="O37" i="1"/>
  <c r="Q37" i="1" s="1"/>
  <c r="S37" i="1" s="1"/>
  <c r="O36" i="1"/>
  <c r="Q36" i="1"/>
  <c r="O20" i="1"/>
  <c r="Q20" i="1" s="1"/>
  <c r="S20" i="1" s="1"/>
  <c r="Q18" i="1"/>
  <c r="Q17" i="1"/>
  <c r="O16" i="1"/>
  <c r="Q16" i="1"/>
  <c r="O15" i="1"/>
  <c r="Q15" i="1" s="1"/>
  <c r="O14" i="1"/>
  <c r="R41" i="1"/>
  <c r="R37" i="1"/>
  <c r="P37" i="1"/>
  <c r="K20" i="1"/>
  <c r="R20" i="1" s="1"/>
  <c r="P20" i="1"/>
  <c r="J63" i="1"/>
  <c r="N63" i="1"/>
  <c r="K63" i="1"/>
  <c r="N58" i="1"/>
  <c r="M58" i="1"/>
  <c r="K58" i="1"/>
  <c r="J58" i="1"/>
  <c r="N54" i="1"/>
  <c r="M54" i="1"/>
  <c r="K54" i="1"/>
  <c r="J54" i="1"/>
  <c r="M50" i="1"/>
  <c r="J50" i="1"/>
  <c r="Q50" i="1" s="1"/>
  <c r="N45" i="1"/>
  <c r="M45" i="1"/>
  <c r="N46" i="1"/>
  <c r="M46" i="1"/>
  <c r="K46" i="1"/>
  <c r="J46" i="1"/>
  <c r="K45" i="1"/>
  <c r="J45" i="1"/>
  <c r="N28" i="1"/>
  <c r="M28" i="1"/>
  <c r="K28" i="1"/>
  <c r="J28" i="1"/>
  <c r="M24" i="1"/>
  <c r="J24" i="1"/>
  <c r="M35" i="1"/>
  <c r="K36" i="1"/>
  <c r="K32" i="1"/>
  <c r="K33" i="1"/>
  <c r="K34" i="1"/>
  <c r="K35" i="1"/>
  <c r="Q45" i="1" l="1"/>
  <c r="Q28" i="1"/>
  <c r="Q63" i="1"/>
  <c r="S63" i="1" s="1"/>
  <c r="Q58" i="1"/>
  <c r="Q54" i="1"/>
  <c r="Q46" i="1"/>
  <c r="Q24" i="1"/>
  <c r="Q14" i="1"/>
  <c r="R19" i="1"/>
  <c r="S19" i="1"/>
  <c r="P19" i="1"/>
  <c r="R46" i="1"/>
  <c r="O64" i="1"/>
  <c r="L64" i="1"/>
  <c r="I64" i="1"/>
  <c r="H64" i="1"/>
  <c r="G64" i="1"/>
  <c r="S46" i="1" l="1"/>
  <c r="R18" i="1"/>
  <c r="S18" i="1"/>
  <c r="P18" i="1"/>
  <c r="S28" i="1"/>
  <c r="P28" i="1"/>
  <c r="R16" i="1"/>
  <c r="S16" i="1"/>
  <c r="P16" i="1"/>
  <c r="R28" i="1" l="1"/>
  <c r="S17" i="1" l="1"/>
  <c r="P17" i="1" l="1"/>
  <c r="P36" i="1"/>
  <c r="P63" i="1"/>
  <c r="R36" i="1"/>
  <c r="S36" i="1"/>
  <c r="R63" i="1"/>
  <c r="S15" i="1" l="1"/>
  <c r="P15" i="1"/>
  <c r="N15" i="1"/>
  <c r="K15" i="1"/>
  <c r="R15" i="1" l="1"/>
  <c r="P14" i="1" l="1"/>
  <c r="S14" i="1"/>
  <c r="K14" i="1"/>
  <c r="R17" i="1" l="1"/>
  <c r="R14" i="1"/>
  <c r="J35" i="1" l="1"/>
  <c r="Q35" i="1" s="1"/>
  <c r="N24" i="1"/>
  <c r="K24" i="1"/>
  <c r="R24" i="1" s="1"/>
  <c r="S24" i="1" l="1"/>
  <c r="J64" i="1"/>
  <c r="M64" i="1" l="1"/>
  <c r="Q64" i="1"/>
  <c r="S35" i="1"/>
  <c r="P24" i="1" l="1"/>
  <c r="P64" i="1" s="1"/>
  <c r="S58" i="1" l="1"/>
  <c r="S50" i="1"/>
  <c r="S45" i="1"/>
  <c r="S33" i="1"/>
  <c r="S54" i="1"/>
  <c r="S34" i="1"/>
  <c r="S59" i="1"/>
  <c r="K59" i="1"/>
  <c r="K50" i="1"/>
  <c r="N34" i="1"/>
  <c r="N59" i="1"/>
  <c r="N33" i="1"/>
  <c r="N50" i="1"/>
  <c r="N32" i="1"/>
  <c r="K64" i="1" l="1"/>
  <c r="N64" i="1"/>
  <c r="S32" i="1"/>
  <c r="S64" i="1" s="1"/>
  <c r="R32" i="1"/>
  <c r="R50" i="1"/>
  <c r="R59" i="1"/>
  <c r="R34" i="1"/>
  <c r="R33" i="1"/>
  <c r="R58" i="1"/>
  <c r="R45" i="1"/>
  <c r="R54" i="1"/>
  <c r="R64" i="1" l="1"/>
</calcChain>
</file>

<file path=xl/sharedStrings.xml><?xml version="1.0" encoding="utf-8"?>
<sst xmlns="http://schemas.openxmlformats.org/spreadsheetml/2006/main" count="186" uniqueCount="122">
  <si>
    <t>CONSEJO NACIONAL DE INVESTIGACIONES AGROPECUARIAS Y FORESTALES CONIAF</t>
  </si>
  <si>
    <t>SEGURO DE PENSION (9.97%)</t>
  </si>
  <si>
    <t xml:space="preserve">Riesgo </t>
  </si>
  <si>
    <t>Seguro de salud  (10.53%)</t>
  </si>
  <si>
    <t xml:space="preserve">Depencientes </t>
  </si>
  <si>
    <t>No.</t>
  </si>
  <si>
    <t>NOMBRE</t>
  </si>
  <si>
    <t>DEPARTAMENTO</t>
  </si>
  <si>
    <t>FUNCION</t>
  </si>
  <si>
    <t>ESTATUS</t>
  </si>
  <si>
    <t>ISR</t>
  </si>
  <si>
    <t>S.SOCIAL</t>
  </si>
  <si>
    <t>Patronal</t>
  </si>
  <si>
    <t>laboral</t>
  </si>
  <si>
    <t>SFS</t>
  </si>
  <si>
    <t>Adicionales</t>
  </si>
  <si>
    <t>Subtotal TSS</t>
  </si>
  <si>
    <t>Deducción</t>
  </si>
  <si>
    <t xml:space="preserve">Aporte </t>
  </si>
  <si>
    <t>SUELDO</t>
  </si>
  <si>
    <t>Sub-Cuenta</t>
  </si>
  <si>
    <t>LEY 11-92 (1*)</t>
  </si>
  <si>
    <t>y Otros</t>
  </si>
  <si>
    <t>Empleado</t>
  </si>
  <si>
    <t>NETO</t>
  </si>
  <si>
    <t>Cruz Dilia Agramonte Pérez</t>
  </si>
  <si>
    <t>De carrera</t>
  </si>
  <si>
    <t>Fijo</t>
  </si>
  <si>
    <t>Cesar Montero Ramirez</t>
  </si>
  <si>
    <t>Jose Antonio Nova</t>
  </si>
  <si>
    <t>Maldane Cuello Espinosa</t>
  </si>
  <si>
    <t>Analista de Proyectos</t>
  </si>
  <si>
    <t>Mailen Josefina  Ramirez C.</t>
  </si>
  <si>
    <t>Conserje</t>
  </si>
  <si>
    <t>José  de los Angeles Cepeda</t>
  </si>
  <si>
    <t>Chofer</t>
  </si>
  <si>
    <t>Anafranc de los Santos Arias</t>
  </si>
  <si>
    <t>Julia J. Rosario B.</t>
  </si>
  <si>
    <t>Dirección Ejecutiva</t>
  </si>
  <si>
    <t xml:space="preserve">    El valor exento de Impuestos Sobre la Renta es de RD$34,685.00</t>
  </si>
  <si>
    <t>Enc. Depto. Agricultura Competitiva</t>
  </si>
  <si>
    <t xml:space="preserve">SUELDO BRUTO </t>
  </si>
  <si>
    <t>Asesor</t>
  </si>
  <si>
    <t>Depto. Protección MA y RRNN</t>
  </si>
  <si>
    <t>Enc. Depto. Protección MA y RRNN</t>
  </si>
  <si>
    <t>(1.2%) (*)</t>
  </si>
  <si>
    <t>Luis Guillermo Peña Diaz</t>
  </si>
  <si>
    <t>Soporte Informatico</t>
  </si>
  <si>
    <t xml:space="preserve">   (5*) Deducción directa declaración TSS del SUIRPLUS por registro de dependientes adicionales al SDSS. RD$1,031.62 por cada dependiente adicional registrado.</t>
  </si>
  <si>
    <t>Observaciones:</t>
  </si>
  <si>
    <t>Estatatuto Simplificado</t>
  </si>
  <si>
    <t>Encargada  Contabilidad</t>
  </si>
  <si>
    <t>Reg. No.</t>
  </si>
  <si>
    <t>Depto. Administrativa y Financiero</t>
  </si>
  <si>
    <t>Auxiliar Recursos Humanos</t>
  </si>
  <si>
    <t>Departamento Administrativo Financiero</t>
  </si>
  <si>
    <t>Victor  Enrique Payano R.</t>
  </si>
  <si>
    <t>Departamento de Acceso a las Ciencias Modernas</t>
  </si>
  <si>
    <t>Enc.  Depto. Acceso a las Ciencias Modernas</t>
  </si>
  <si>
    <t>Departamento de Agricultura Competitiva</t>
  </si>
  <si>
    <t xml:space="preserve"> Depto.  Acceso a las Ciencias Modernas</t>
  </si>
  <si>
    <t>Preparado por:</t>
  </si>
  <si>
    <t>Revisado por:</t>
  </si>
  <si>
    <t>____________________________________</t>
  </si>
  <si>
    <t>______________________________</t>
  </si>
  <si>
    <t>Enc. Administrativo y Financiero</t>
  </si>
  <si>
    <t>___________________________</t>
  </si>
  <si>
    <t>SEG. VIDA</t>
  </si>
  <si>
    <t>Salomon Reyes Rodriguez</t>
  </si>
  <si>
    <t xml:space="preserve">   (1*) Deducción directa en declaración ISR empleados del SUIRPLUS. Rentas hasta RD$416,220.01.00 estan exentas.</t>
  </si>
  <si>
    <t>Departamento de Protección al Medio Ambiente y Recursos Naturales</t>
  </si>
  <si>
    <t>Directora Ejecutiva</t>
  </si>
  <si>
    <t>Ana Maria Barcelo Larocca</t>
  </si>
  <si>
    <t xml:space="preserve">  Directora Ejecutiva</t>
  </si>
  <si>
    <t>Jose Edilberto Simeon Duran</t>
  </si>
  <si>
    <t>Asesor Direccion ejecutiva</t>
  </si>
  <si>
    <t>Nimia Lissette Gomez</t>
  </si>
  <si>
    <t>Carolina Rodriguez Contreras</t>
  </si>
  <si>
    <t>Secretaria Ejecutiva</t>
  </si>
  <si>
    <t>Ingrid Mercedes Peralta Sori</t>
  </si>
  <si>
    <t>Juan Tomas Reyes de los Santos</t>
  </si>
  <si>
    <t>Fernando Ant. Ravelo Perez</t>
  </si>
  <si>
    <t>Joanmy Virginia Espinosa Silver</t>
  </si>
  <si>
    <t>Asesora consultora Juridica</t>
  </si>
  <si>
    <t>GENERO</t>
  </si>
  <si>
    <t>Femenino</t>
  </si>
  <si>
    <t>Masculino</t>
  </si>
  <si>
    <t>Sección Tecnologia de la Infornación y la Comunicación</t>
  </si>
  <si>
    <t>División Recursos Humanos</t>
  </si>
  <si>
    <t>División de Planificación y Desarrollo</t>
  </si>
  <si>
    <t>Departamento de Reducción Pobreza Rural</t>
  </si>
  <si>
    <t>Dirección Tecnica</t>
  </si>
  <si>
    <t>Division de Planif. Y Desarrollo</t>
  </si>
  <si>
    <t>Dirección Técnica</t>
  </si>
  <si>
    <t>Dra. Ana María Barceló</t>
  </si>
  <si>
    <t>Depto. Agricultura Competitiva</t>
  </si>
  <si>
    <r>
      <t xml:space="preserve">   (2*) Salario cotizable hasta RD$53,928.00, deducción directa de la declaración TSS del SUIRPLUS.</t>
    </r>
    <r>
      <rPr>
        <b/>
        <sz val="22"/>
        <rFont val="Calibri"/>
        <family val="2"/>
      </rPr>
      <t>(Riesgo Laboral)</t>
    </r>
  </si>
  <si>
    <r>
      <t xml:space="preserve">   (3*) Salario cotizable hasta RD$134,820.00, deducción directa de la declaración TSS del SUIRPLUS.(</t>
    </r>
    <r>
      <rPr>
        <b/>
        <sz val="22"/>
        <rFont val="Calibri"/>
        <family val="2"/>
      </rPr>
      <t>Seguro de Salud</t>
    </r>
    <r>
      <rPr>
        <sz val="22"/>
        <rFont val="Calibri"/>
        <family val="2"/>
      </rPr>
      <t>)</t>
    </r>
  </si>
  <si>
    <r>
      <t xml:space="preserve">   (4*) Salario cotizable hasta RD$269, 640.00, deducción directa de la declaración TSS del SUIRPLUS.(</t>
    </r>
    <r>
      <rPr>
        <b/>
        <sz val="22"/>
        <rFont val="Calibri"/>
        <family val="2"/>
      </rPr>
      <t>Seguro de Pension</t>
    </r>
    <r>
      <rPr>
        <sz val="22"/>
        <rFont val="Calibri"/>
        <family val="2"/>
      </rPr>
      <t>)</t>
    </r>
  </si>
  <si>
    <t>Sección TIC</t>
  </si>
  <si>
    <t>TOTAL GENERAL</t>
  </si>
  <si>
    <t xml:space="preserve">                                      Autorizado por:</t>
  </si>
  <si>
    <t>Angela Maria Torres Morales</t>
  </si>
  <si>
    <t>Enc.. Depto. Reducción a la Pobreza</t>
  </si>
  <si>
    <t>Depto.  Reducción Pobreza Rural</t>
  </si>
  <si>
    <t>Técnico Recursos Humanos</t>
  </si>
  <si>
    <t>Directora Técnica</t>
  </si>
  <si>
    <t xml:space="preserve">Técnico Administrativo </t>
  </si>
  <si>
    <t>Técnico de Contabilidad</t>
  </si>
  <si>
    <t>Terina Lisbeth Feliz Lockhart</t>
  </si>
  <si>
    <t>Rosa Cabral</t>
  </si>
  <si>
    <t>Analista</t>
  </si>
  <si>
    <t>Auxiliar Administrativo I</t>
  </si>
  <si>
    <t>Jose Bienvenido Carvajal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</si>
  <si>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</si>
  <si>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Lic. Anafranc de los Santos</t>
  </si>
  <si>
    <t xml:space="preserve">De Libre Nombramiento y Remoción </t>
  </si>
  <si>
    <t>Bernal José Payano Marte</t>
  </si>
  <si>
    <t>Lic. Cruz Dilia Agramonte Pérez</t>
  </si>
  <si>
    <t>Autorizado Por:</t>
  </si>
  <si>
    <t>NOMINA SUELDOS CORRESPONDIENTE ENERO 2026: EMPLEADOS FIJOS</t>
  </si>
  <si>
    <t>CERTIFICO QUE ESTA NOMINA DE PAGO CONSTA DE  **2** HOJAS, ESTA CORRECTA Y COMPLETA Y QUE LAS PERSONAS ENUMERADAS EN LA MISMA SON LAS QUE AL 25 DE ENERO 2026 FIGURAN EN LOS RECORD DE PERSONAL FIJO QUE MATIENE EL CONIAF.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</si>
</sst>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_-* #,##0.00\ [$€]_-;\-* #,##0.00\ [$€]_-;_-* &quot;-&quot;??\ [$€]_-;_-@_-"/>
    <numFmt numFmtId="166" formatCode="#,##0.00;[Red]#,##0.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Calibri"/>
      <family val="2"/>
    </font>
    <font>
      <sz val="16"/>
      <color theme="1"/>
      <name val="Calibri"/>
      <family val="2"/>
    </font>
    <font>
      <b/>
      <sz val="26"/>
      <name val="Calibri"/>
      <family val="2"/>
    </font>
    <font>
      <sz val="26"/>
      <color theme="1"/>
      <name val="Calibri"/>
      <family val="2"/>
    </font>
    <font>
      <b/>
      <sz val="48"/>
      <name val="Calibri"/>
      <family val="2"/>
    </font>
    <font>
      <b/>
      <sz val="36"/>
      <name val="Calibri"/>
      <family val="2"/>
    </font>
    <font>
      <b/>
      <sz val="22"/>
      <name val="Calibri"/>
      <family val="2"/>
    </font>
    <font>
      <b/>
      <sz val="22"/>
      <color theme="1"/>
      <name val="Calibri"/>
      <family val="2"/>
    </font>
    <font>
      <sz val="22"/>
      <color theme="1"/>
      <name val="Calibri"/>
      <family val="2"/>
    </font>
    <font>
      <sz val="22"/>
      <name val="Calibri"/>
      <family val="2"/>
    </font>
    <font>
      <b/>
      <sz val="28"/>
      <color theme="1"/>
      <name val="Calibri"/>
      <family val="2"/>
    </font>
    <font>
      <b/>
      <sz val="26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77">
    <xf numFmtId="0" fontId="0" fillId="0" borderId="0" xfId="0"/>
    <xf numFmtId="0" fontId="3" fillId="0" borderId="0" xfId="2" applyFont="1" applyAlignment="1">
      <alignment horizontal="center"/>
    </xf>
    <xf numFmtId="0" fontId="4" fillId="0" borderId="0" xfId="0" applyFont="1"/>
    <xf numFmtId="0" fontId="6" fillId="0" borderId="0" xfId="0" applyFont="1"/>
    <xf numFmtId="0" fontId="5" fillId="0" borderId="0" xfId="2" applyFont="1" applyAlignment="1">
      <alignment horizontal="center"/>
    </xf>
    <xf numFmtId="165" fontId="9" fillId="0" borderId="0" xfId="3" applyFont="1" applyAlignment="1">
      <alignment horizontal="center"/>
    </xf>
    <xf numFmtId="0" fontId="10" fillId="2" borderId="1" xfId="0" applyFont="1" applyFill="1" applyBorder="1"/>
    <xf numFmtId="165" fontId="9" fillId="2" borderId="1" xfId="3" applyFont="1" applyFill="1" applyBorder="1" applyAlignment="1">
      <alignment horizontal="center"/>
    </xf>
    <xf numFmtId="165" fontId="9" fillId="2" borderId="2" xfId="3" applyFont="1" applyFill="1" applyBorder="1" applyAlignment="1">
      <alignment horizontal="center"/>
    </xf>
    <xf numFmtId="165" fontId="9" fillId="2" borderId="0" xfId="3" applyFont="1" applyFill="1" applyAlignment="1">
      <alignment horizontal="center"/>
    </xf>
    <xf numFmtId="165" fontId="9" fillId="2" borderId="0" xfId="3" applyFont="1" applyFill="1"/>
    <xf numFmtId="165" fontId="9" fillId="2" borderId="0" xfId="3" applyFont="1" applyFill="1" applyBorder="1"/>
    <xf numFmtId="0" fontId="11" fillId="0" borderId="0" xfId="0" applyFont="1"/>
    <xf numFmtId="0" fontId="9" fillId="2" borderId="1" xfId="2" applyFont="1" applyFill="1" applyBorder="1" applyAlignment="1">
      <alignment horizontal="center"/>
    </xf>
    <xf numFmtId="0" fontId="12" fillId="2" borderId="1" xfId="2" applyFont="1" applyFill="1" applyBorder="1" applyAlignment="1">
      <alignment horizontal="center"/>
    </xf>
    <xf numFmtId="0" fontId="9" fillId="2" borderId="1" xfId="2" applyFont="1" applyFill="1" applyBorder="1"/>
    <xf numFmtId="0" fontId="10" fillId="2" borderId="1" xfId="0" applyFont="1" applyFill="1" applyBorder="1" applyAlignment="1">
      <alignment horizontal="center"/>
    </xf>
    <xf numFmtId="10" fontId="9" fillId="2" borderId="1" xfId="2" applyNumberFormat="1" applyFont="1" applyFill="1" applyBorder="1" applyAlignment="1">
      <alignment horizontal="center"/>
    </xf>
    <xf numFmtId="0" fontId="10" fillId="0" borderId="1" xfId="0" applyFont="1" applyBorder="1"/>
    <xf numFmtId="0" fontId="11" fillId="0" borderId="1" xfId="0" applyFont="1" applyBorder="1"/>
    <xf numFmtId="0" fontId="12" fillId="0" borderId="1" xfId="2" applyFont="1" applyBorder="1" applyAlignment="1">
      <alignment horizontal="center"/>
    </xf>
    <xf numFmtId="0" fontId="12" fillId="0" borderId="1" xfId="2" applyFont="1" applyBorder="1" applyAlignment="1">
      <alignment horizontal="left"/>
    </xf>
    <xf numFmtId="43" fontId="12" fillId="0" borderId="1" xfId="1" applyFont="1" applyBorder="1"/>
    <xf numFmtId="166" fontId="12" fillId="0" borderId="1" xfId="2" applyNumberFormat="1" applyFont="1" applyBorder="1"/>
    <xf numFmtId="166" fontId="12" fillId="0" borderId="1" xfId="4" applyNumberFormat="1" applyFont="1" applyBorder="1"/>
    <xf numFmtId="166" fontId="12" fillId="0" borderId="1" xfId="0" applyNumberFormat="1" applyFont="1" applyBorder="1"/>
    <xf numFmtId="0" fontId="12" fillId="0" borderId="1" xfId="2" applyFont="1" applyBorder="1"/>
    <xf numFmtId="43" fontId="12" fillId="0" borderId="1" xfId="0" applyNumberFormat="1" applyFont="1" applyBorder="1"/>
    <xf numFmtId="0" fontId="9" fillId="0" borderId="1" xfId="2" applyFont="1" applyBorder="1" applyAlignment="1">
      <alignment horizontal="left"/>
    </xf>
    <xf numFmtId="43" fontId="9" fillId="0" borderId="1" xfId="1" applyFont="1" applyBorder="1"/>
    <xf numFmtId="166" fontId="9" fillId="0" borderId="1" xfId="2" applyNumberFormat="1" applyFont="1" applyBorder="1"/>
    <xf numFmtId="166" fontId="9" fillId="0" borderId="1" xfId="4" applyNumberFormat="1" applyFont="1" applyBorder="1"/>
    <xf numFmtId="166" fontId="9" fillId="0" borderId="1" xfId="0" applyNumberFormat="1" applyFont="1" applyBorder="1"/>
    <xf numFmtId="0" fontId="9" fillId="0" borderId="1" xfId="2" applyFont="1" applyBorder="1"/>
    <xf numFmtId="0" fontId="12" fillId="0" borderId="1" xfId="0" applyFont="1" applyBorder="1"/>
    <xf numFmtId="0" fontId="11" fillId="0" borderId="4" xfId="0" applyFont="1" applyBorder="1"/>
    <xf numFmtId="0" fontId="12" fillId="0" borderId="1" xfId="0" applyFont="1" applyBorder="1" applyAlignment="1">
      <alignment horizontal="center"/>
    </xf>
    <xf numFmtId="0" fontId="12" fillId="0" borderId="1" xfId="2" applyFont="1" applyBorder="1" applyAlignment="1">
      <alignment horizontal="center" wrapText="1"/>
    </xf>
    <xf numFmtId="0" fontId="12" fillId="0" borderId="0" xfId="0" applyFont="1" applyAlignment="1">
      <alignment horizontal="center"/>
    </xf>
    <xf numFmtId="0" fontId="12" fillId="0" borderId="0" xfId="0" applyFont="1"/>
    <xf numFmtId="0" fontId="12" fillId="0" borderId="0" xfId="2" applyFont="1" applyAlignment="1">
      <alignment horizontal="left"/>
    </xf>
    <xf numFmtId="43" fontId="12" fillId="0" borderId="0" xfId="1" applyFont="1" applyBorder="1"/>
    <xf numFmtId="166" fontId="12" fillId="0" borderId="0" xfId="4" applyNumberFormat="1" applyFont="1" applyBorder="1"/>
    <xf numFmtId="166" fontId="12" fillId="0" borderId="0" xfId="0" applyNumberFormat="1" applyFont="1"/>
    <xf numFmtId="166" fontId="12" fillId="0" borderId="0" xfId="2" applyNumberFormat="1" applyFont="1"/>
    <xf numFmtId="0" fontId="12" fillId="0" borderId="0" xfId="2" applyFont="1"/>
    <xf numFmtId="0" fontId="9" fillId="0" borderId="0" xfId="2" applyFont="1"/>
    <xf numFmtId="0" fontId="9" fillId="0" borderId="0" xfId="2" applyFont="1" applyAlignment="1">
      <alignment horizontal="center"/>
    </xf>
    <xf numFmtId="166" fontId="9" fillId="0" borderId="0" xfId="2" applyNumberFormat="1" applyFont="1"/>
    <xf numFmtId="0" fontId="12" fillId="0" borderId="0" xfId="0" applyFont="1" applyAlignment="1">
      <alignment vertical="center"/>
    </xf>
    <xf numFmtId="43" fontId="11" fillId="0" borderId="0" xfId="0" applyNumberFormat="1" applyFont="1"/>
    <xf numFmtId="43" fontId="10" fillId="0" borderId="0" xfId="0" applyNumberFormat="1" applyFont="1"/>
    <xf numFmtId="4" fontId="12" fillId="0" borderId="0" xfId="0" applyNumberFormat="1" applyFont="1" applyAlignment="1">
      <alignment vertical="center"/>
    </xf>
    <xf numFmtId="0" fontId="10" fillId="0" borderId="0" xfId="0" applyFont="1"/>
    <xf numFmtId="0" fontId="9" fillId="0" borderId="1" xfId="0" applyFont="1" applyBorder="1"/>
    <xf numFmtId="0" fontId="13" fillId="0" borderId="0" xfId="0" applyFont="1"/>
    <xf numFmtId="0" fontId="1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4" fillId="0" borderId="0" xfId="0" applyFont="1"/>
    <xf numFmtId="0" fontId="9" fillId="0" borderId="1" xfId="2" applyFont="1" applyBorder="1" applyAlignment="1">
      <alignment horizontal="center"/>
    </xf>
    <xf numFmtId="43" fontId="12" fillId="0" borderId="1" xfId="1" applyFont="1" applyBorder="1" applyAlignment="1">
      <alignment horizontal="right"/>
    </xf>
    <xf numFmtId="0" fontId="6" fillId="0" borderId="0" xfId="0" applyFont="1" applyAlignment="1">
      <alignment horizontal="left"/>
    </xf>
    <xf numFmtId="0" fontId="9" fillId="0" borderId="1" xfId="2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3" fillId="0" borderId="0" xfId="2" applyFont="1" applyAlignment="1">
      <alignment horizontal="center"/>
    </xf>
    <xf numFmtId="0" fontId="8" fillId="0" borderId="0" xfId="2" applyFont="1" applyAlignment="1">
      <alignment horizontal="center"/>
    </xf>
    <xf numFmtId="0" fontId="7" fillId="0" borderId="0" xfId="2" applyFont="1" applyAlignment="1">
      <alignment horizontal="center"/>
    </xf>
    <xf numFmtId="165" fontId="9" fillId="2" borderId="3" xfId="3" applyFont="1" applyFill="1" applyBorder="1" applyAlignment="1">
      <alignment horizontal="center"/>
    </xf>
    <xf numFmtId="165" fontId="9" fillId="2" borderId="5" xfId="3" applyFont="1" applyFill="1" applyBorder="1" applyAlignment="1">
      <alignment horizontal="center"/>
    </xf>
    <xf numFmtId="0" fontId="9" fillId="2" borderId="1" xfId="2" applyFont="1" applyFill="1" applyBorder="1" applyAlignment="1">
      <alignment horizontal="center" wrapText="1"/>
    </xf>
    <xf numFmtId="0" fontId="9" fillId="2" borderId="1" xfId="2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0" fillId="0" borderId="8" xfId="0" applyFont="1" applyBorder="1" applyAlignment="1">
      <alignment horizontal="center"/>
    </xf>
  </cellXfs>
  <cellStyles count="5">
    <cellStyle name="Euro" xfId="3" xr:uid="{00000000-0005-0000-0000-000000000000}"/>
    <cellStyle name="Millares" xfId="1" builtinId="3"/>
    <cellStyle name="Millares 2" xfId="4" xr:uid="{00000000-0005-0000-0000-000002000000}"/>
    <cellStyle name="Normal" xfId="0" builtinId="0"/>
    <cellStyle name="Normal 2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2119311</xdr:colOff>
      <xdr:row>1</xdr:row>
      <xdr:rowOff>690562</xdr:rowOff>
    </xdr:from>
    <xdr:to>
      <xdr:col>2</xdr:col>
      <xdr:colOff>1474470</xdr:colOff>
      <xdr:row>6</xdr:row>
      <xdr:rowOff>69533</xdr:rowOff>
    </xdr:to>
    <xdr:pic>
      <xdr:nvPicPr>
        <xdr:cNvPr id="2" name="Imagen 1" descr="C:\Documents and Settings\Noemi\My Documents\DELLCOMPARTIDO\coniaf_logo.jpg">
          <a:extLst>
            <a:ext uri="{FF2B5EF4-FFF2-40B4-BE49-F238E27FC236}">
              <a16:creationId xmlns:a16="http://schemas.microsoft.com/office/drawing/2014/main" id="{AA34B102-508D-4554-AA8A-3E1BF7C05C5E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24249" y="952500"/>
          <a:ext cx="3667126" cy="18811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V88"/>
  <sheetViews>
    <sheetView tabSelected="1" view="pageBreakPreview" zoomScale="50" zoomScaleNormal="71" zoomScaleSheetLayoutView="5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B75" sqref="B75"/>
    </sheetView>
  </sheetViews>
  <sheetFormatPr baseColWidth="10" defaultColWidth="40.7109375" defaultRowHeight="21" x14ac:dyDescent="0.35"/>
  <cols>
    <col min="1" max="1" width="21.140625" style="2" customWidth="1"/>
    <col min="2" max="2" width="64.5703125" style="2" customWidth="1"/>
    <col min="3" max="3" width="81.5703125" style="2" customWidth="1"/>
    <col min="4" max="4" width="69.140625" style="2" customWidth="1"/>
    <col min="5" max="5" width="77.7109375" style="2" customWidth="1"/>
    <col min="6" max="6" width="22" style="2" customWidth="1"/>
    <col min="7" max="7" width="31.5703125" style="2" customWidth="1"/>
    <col min="8" max="8" width="26.85546875" style="2" customWidth="1"/>
    <col min="9" max="9" width="21.5703125" style="2" customWidth="1"/>
    <col min="10" max="10" width="29.5703125" style="2" customWidth="1"/>
    <col min="11" max="11" width="32" style="2" customWidth="1"/>
    <col min="12" max="12" width="27.42578125" style="2" customWidth="1"/>
    <col min="13" max="13" width="29" style="2" customWidth="1"/>
    <col min="14" max="14" width="28.85546875" style="2" customWidth="1"/>
    <col min="15" max="15" width="30.28515625" style="2" customWidth="1"/>
    <col min="16" max="16" width="28.140625" style="2" customWidth="1"/>
    <col min="17" max="17" width="26.140625" style="2" customWidth="1"/>
    <col min="18" max="18" width="27.7109375" style="2" customWidth="1"/>
    <col min="19" max="19" width="27.85546875" style="2" customWidth="1"/>
    <col min="20" max="20" width="23.42578125" style="2" customWidth="1"/>
    <col min="21" max="16384" width="40.7109375" style="2"/>
  </cols>
  <sheetData>
    <row r="1" spans="1:20" x14ac:dyDescent="0.35">
      <c r="A1" s="67"/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</row>
    <row r="2" spans="1:20" ht="61.5" x14ac:dyDescent="0.9">
      <c r="A2" s="69" t="s">
        <v>0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</row>
    <row r="3" spans="1:20" ht="33.75" x14ac:dyDescent="0.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spans="1:20" ht="33.75" x14ac:dyDescent="0.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</row>
    <row r="5" spans="1:20" ht="33.75" x14ac:dyDescent="0.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spans="1:20" ht="33.75" x14ac:dyDescent="0.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33.75" x14ac:dyDescent="0.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</row>
    <row r="8" spans="1:20" ht="46.5" x14ac:dyDescent="0.7">
      <c r="A8" s="68" t="s">
        <v>120</v>
      </c>
      <c r="B8" s="68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</row>
    <row r="9" spans="1:20" x14ac:dyDescent="0.3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</row>
    <row r="10" spans="1:20" s="12" customFormat="1" ht="27" customHeight="1" x14ac:dyDescent="0.45">
      <c r="A10" s="5"/>
      <c r="B10" s="5"/>
      <c r="C10" s="5"/>
      <c r="D10" s="5"/>
      <c r="E10" s="5"/>
      <c r="F10" s="5"/>
      <c r="G10" s="5"/>
      <c r="H10" s="5"/>
      <c r="I10" s="5"/>
      <c r="J10" s="6" t="s">
        <v>1</v>
      </c>
      <c r="K10" s="7"/>
      <c r="L10" s="7" t="s">
        <v>2</v>
      </c>
      <c r="M10" s="70" t="s">
        <v>3</v>
      </c>
      <c r="N10" s="71"/>
      <c r="O10" s="8" t="s">
        <v>4</v>
      </c>
      <c r="P10" s="7"/>
      <c r="Q10" s="9"/>
      <c r="R10" s="10"/>
      <c r="S10" s="10"/>
      <c r="T10" s="11"/>
    </row>
    <row r="11" spans="1:20" s="12" customFormat="1" ht="27" customHeight="1" x14ac:dyDescent="0.45">
      <c r="A11" s="13" t="s">
        <v>52</v>
      </c>
      <c r="B11" s="13" t="s">
        <v>6</v>
      </c>
      <c r="C11" s="13" t="s">
        <v>7</v>
      </c>
      <c r="D11" s="13" t="s">
        <v>8</v>
      </c>
      <c r="E11" s="13" t="s">
        <v>9</v>
      </c>
      <c r="F11" s="13" t="s">
        <v>84</v>
      </c>
      <c r="G11" s="73" t="s">
        <v>41</v>
      </c>
      <c r="H11" s="13" t="s">
        <v>10</v>
      </c>
      <c r="I11" s="72" t="s">
        <v>67</v>
      </c>
      <c r="J11" s="13" t="s">
        <v>11</v>
      </c>
      <c r="K11" s="13" t="s">
        <v>12</v>
      </c>
      <c r="L11" s="13" t="s">
        <v>13</v>
      </c>
      <c r="M11" s="13" t="s">
        <v>14</v>
      </c>
      <c r="N11" s="13" t="s">
        <v>12</v>
      </c>
      <c r="O11" s="13" t="s">
        <v>15</v>
      </c>
      <c r="P11" s="72" t="s">
        <v>16</v>
      </c>
      <c r="Q11" s="13" t="s">
        <v>17</v>
      </c>
      <c r="R11" s="13" t="s">
        <v>18</v>
      </c>
      <c r="S11" s="13" t="s">
        <v>19</v>
      </c>
      <c r="T11" s="13" t="s">
        <v>20</v>
      </c>
    </row>
    <row r="12" spans="1:20" s="12" customFormat="1" ht="27" customHeight="1" x14ac:dyDescent="0.45">
      <c r="A12" s="14"/>
      <c r="B12" s="15"/>
      <c r="C12" s="15"/>
      <c r="D12" s="15"/>
      <c r="E12" s="15"/>
      <c r="F12" s="15"/>
      <c r="G12" s="73"/>
      <c r="H12" s="16" t="s">
        <v>21</v>
      </c>
      <c r="I12" s="72"/>
      <c r="J12" s="17">
        <v>2.87E-2</v>
      </c>
      <c r="K12" s="17">
        <v>7.0999999999999994E-2</v>
      </c>
      <c r="L12" s="17" t="s">
        <v>45</v>
      </c>
      <c r="M12" s="17">
        <v>3.04E-2</v>
      </c>
      <c r="N12" s="17">
        <v>7.0900000000000005E-2</v>
      </c>
      <c r="O12" s="13" t="s">
        <v>22</v>
      </c>
      <c r="P12" s="72"/>
      <c r="Q12" s="13" t="s">
        <v>23</v>
      </c>
      <c r="R12" s="13" t="s">
        <v>12</v>
      </c>
      <c r="S12" s="13" t="s">
        <v>24</v>
      </c>
      <c r="T12" s="13" t="s">
        <v>5</v>
      </c>
    </row>
    <row r="13" spans="1:20" s="12" customFormat="1" ht="27" customHeight="1" x14ac:dyDescent="0.45">
      <c r="A13" s="18"/>
      <c r="B13" s="74" t="s">
        <v>38</v>
      </c>
      <c r="C13" s="75"/>
      <c r="D13" s="76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</row>
    <row r="14" spans="1:20" s="12" customFormat="1" ht="27" customHeight="1" x14ac:dyDescent="0.45">
      <c r="A14" s="20">
        <v>1</v>
      </c>
      <c r="B14" s="21" t="s">
        <v>72</v>
      </c>
      <c r="C14" s="20" t="s">
        <v>38</v>
      </c>
      <c r="D14" s="20" t="s">
        <v>73</v>
      </c>
      <c r="E14" s="20" t="s">
        <v>116</v>
      </c>
      <c r="F14" s="20" t="s">
        <v>85</v>
      </c>
      <c r="G14" s="29">
        <v>240000</v>
      </c>
      <c r="H14" s="23">
        <v>45213.58</v>
      </c>
      <c r="I14" s="24">
        <v>25</v>
      </c>
      <c r="J14" s="24">
        <v>6888</v>
      </c>
      <c r="K14" s="22">
        <f>G14*K12</f>
        <v>17040</v>
      </c>
      <c r="L14" s="24">
        <v>780.6</v>
      </c>
      <c r="M14" s="24">
        <v>6589.14</v>
      </c>
      <c r="N14" s="24">
        <v>11530.11</v>
      </c>
      <c r="O14" s="24">
        <f>7748.46-25</f>
        <v>7723.46</v>
      </c>
      <c r="P14" s="24">
        <f t="shared" ref="P14:P20" si="0">J14+M14</f>
        <v>13477.14</v>
      </c>
      <c r="Q14" s="25">
        <f>+H14+I14+J14+M14+O14</f>
        <v>66439.180000000008</v>
      </c>
      <c r="R14" s="23">
        <f>K14+N14</f>
        <v>28570.11</v>
      </c>
      <c r="S14" s="31">
        <f>G14-Q14</f>
        <v>173560.82</v>
      </c>
      <c r="T14" s="26">
        <v>111</v>
      </c>
    </row>
    <row r="15" spans="1:20" s="12" customFormat="1" ht="27" customHeight="1" x14ac:dyDescent="0.45">
      <c r="A15" s="20">
        <v>2</v>
      </c>
      <c r="B15" s="26" t="s">
        <v>74</v>
      </c>
      <c r="C15" s="20" t="s">
        <v>38</v>
      </c>
      <c r="D15" s="20" t="s">
        <v>75</v>
      </c>
      <c r="E15" s="20" t="s">
        <v>116</v>
      </c>
      <c r="F15" s="20" t="s">
        <v>86</v>
      </c>
      <c r="G15" s="29">
        <v>131951.16</v>
      </c>
      <c r="H15" s="24">
        <v>19621.080000000002</v>
      </c>
      <c r="I15" s="24">
        <v>25</v>
      </c>
      <c r="J15" s="24">
        <v>3787</v>
      </c>
      <c r="K15" s="22">
        <f>G15*K12</f>
        <v>9368.5323599999992</v>
      </c>
      <c r="L15" s="24">
        <v>780.6</v>
      </c>
      <c r="M15" s="24">
        <v>4011.32</v>
      </c>
      <c r="N15" s="27">
        <f>G15*N12</f>
        <v>9355.3372440000003</v>
      </c>
      <c r="O15" s="24">
        <f>225-25</f>
        <v>200</v>
      </c>
      <c r="P15" s="24">
        <f t="shared" si="0"/>
        <v>7798.32</v>
      </c>
      <c r="Q15" s="25">
        <f>+H15+I15+J15+M15+O15</f>
        <v>27644.400000000001</v>
      </c>
      <c r="R15" s="23">
        <f>K15+L15+N15</f>
        <v>19504.469603999998</v>
      </c>
      <c r="S15" s="31">
        <f>G15-Q15</f>
        <v>104306.76000000001</v>
      </c>
      <c r="T15" s="26">
        <v>111</v>
      </c>
    </row>
    <row r="16" spans="1:20" s="12" customFormat="1" ht="27" customHeight="1" x14ac:dyDescent="0.45">
      <c r="A16" s="20">
        <v>3</v>
      </c>
      <c r="B16" s="21" t="s">
        <v>81</v>
      </c>
      <c r="C16" s="20" t="s">
        <v>38</v>
      </c>
      <c r="D16" s="20" t="s">
        <v>75</v>
      </c>
      <c r="E16" s="20" t="s">
        <v>116</v>
      </c>
      <c r="F16" s="20" t="s">
        <v>86</v>
      </c>
      <c r="G16" s="29">
        <v>132000</v>
      </c>
      <c r="H16" s="24">
        <v>19632.57</v>
      </c>
      <c r="I16" s="24">
        <v>25</v>
      </c>
      <c r="J16" s="24">
        <v>3788.4</v>
      </c>
      <c r="K16" s="22">
        <v>9372</v>
      </c>
      <c r="L16" s="24">
        <v>780.6</v>
      </c>
      <c r="M16" s="24">
        <v>4012.8</v>
      </c>
      <c r="N16" s="24">
        <v>9358.7999999999993</v>
      </c>
      <c r="O16" s="24">
        <f>2628.61-25</f>
        <v>2603.61</v>
      </c>
      <c r="P16" s="24">
        <f t="shared" si="0"/>
        <v>7801.2000000000007</v>
      </c>
      <c r="Q16" s="25">
        <f>+H16+I16+J16+M16+O16</f>
        <v>30062.38</v>
      </c>
      <c r="R16" s="23">
        <f t="shared" ref="R16" si="1">K16+N16</f>
        <v>18730.8</v>
      </c>
      <c r="S16" s="31">
        <f t="shared" ref="S16" si="2">G16-Q16</f>
        <v>101937.62</v>
      </c>
      <c r="T16" s="26">
        <v>111</v>
      </c>
    </row>
    <row r="17" spans="1:178" s="12" customFormat="1" ht="27" customHeight="1" x14ac:dyDescent="0.45">
      <c r="A17" s="20">
        <v>4</v>
      </c>
      <c r="B17" s="26" t="s">
        <v>80</v>
      </c>
      <c r="C17" s="20" t="s">
        <v>38</v>
      </c>
      <c r="D17" s="20" t="s">
        <v>42</v>
      </c>
      <c r="E17" s="20" t="s">
        <v>116</v>
      </c>
      <c r="F17" s="20" t="s">
        <v>86</v>
      </c>
      <c r="G17" s="29">
        <v>131951.16</v>
      </c>
      <c r="H17" s="24">
        <v>19621.080000000002</v>
      </c>
      <c r="I17" s="24">
        <v>25</v>
      </c>
      <c r="J17" s="24">
        <v>3787</v>
      </c>
      <c r="K17" s="22">
        <v>9368.5300000000007</v>
      </c>
      <c r="L17" s="24">
        <v>780.6</v>
      </c>
      <c r="M17" s="24">
        <v>4011.32</v>
      </c>
      <c r="N17" s="24">
        <v>9355.34</v>
      </c>
      <c r="O17" s="24">
        <f>14554.17-25</f>
        <v>14529.17</v>
      </c>
      <c r="P17" s="24">
        <f t="shared" si="0"/>
        <v>7798.32</v>
      </c>
      <c r="Q17" s="25">
        <f>+H17+I17+J17+M17+O17</f>
        <v>41973.57</v>
      </c>
      <c r="R17" s="23">
        <f>K17+N17</f>
        <v>18723.870000000003</v>
      </c>
      <c r="S17" s="31">
        <f t="shared" ref="S17:S20" si="3">G17-Q17</f>
        <v>89977.59</v>
      </c>
      <c r="T17" s="26">
        <v>111</v>
      </c>
    </row>
    <row r="18" spans="1:178" s="12" customFormat="1" ht="27" customHeight="1" x14ac:dyDescent="0.45">
      <c r="A18" s="20">
        <v>5</v>
      </c>
      <c r="B18" s="26" t="s">
        <v>82</v>
      </c>
      <c r="C18" s="20" t="s">
        <v>38</v>
      </c>
      <c r="D18" s="20" t="s">
        <v>83</v>
      </c>
      <c r="E18" s="20" t="s">
        <v>116</v>
      </c>
      <c r="F18" s="20" t="s">
        <v>85</v>
      </c>
      <c r="G18" s="29">
        <v>70000</v>
      </c>
      <c r="H18" s="24">
        <v>5368.48</v>
      </c>
      <c r="I18" s="24">
        <v>25</v>
      </c>
      <c r="J18" s="24">
        <v>2009</v>
      </c>
      <c r="K18" s="22">
        <v>4970</v>
      </c>
      <c r="L18" s="24">
        <v>780.6</v>
      </c>
      <c r="M18" s="24">
        <v>2128</v>
      </c>
      <c r="N18" s="24">
        <v>4963</v>
      </c>
      <c r="O18" s="24">
        <f>4094.36-25</f>
        <v>4069.36</v>
      </c>
      <c r="P18" s="24">
        <f t="shared" si="0"/>
        <v>4137</v>
      </c>
      <c r="Q18" s="25">
        <f t="shared" ref="Q18:Q20" si="4">+H18+I18+J18+M18+O18</f>
        <v>13599.84</v>
      </c>
      <c r="R18" s="23">
        <f>K18+N18</f>
        <v>9933</v>
      </c>
      <c r="S18" s="31">
        <f t="shared" si="3"/>
        <v>56400.160000000003</v>
      </c>
      <c r="T18" s="26">
        <v>111</v>
      </c>
    </row>
    <row r="19" spans="1:178" s="12" customFormat="1" ht="27" customHeight="1" x14ac:dyDescent="0.45">
      <c r="A19" s="20">
        <v>6</v>
      </c>
      <c r="B19" s="26" t="s">
        <v>102</v>
      </c>
      <c r="C19" s="20" t="s">
        <v>38</v>
      </c>
      <c r="D19" s="20" t="s">
        <v>75</v>
      </c>
      <c r="E19" s="20" t="s">
        <v>116</v>
      </c>
      <c r="F19" s="20" t="s">
        <v>85</v>
      </c>
      <c r="G19" s="29">
        <v>131951.16</v>
      </c>
      <c r="H19" s="24">
        <v>19621.080000000002</v>
      </c>
      <c r="I19" s="24">
        <v>25</v>
      </c>
      <c r="J19" s="24">
        <v>3787</v>
      </c>
      <c r="K19" s="22">
        <v>9368.5300000000007</v>
      </c>
      <c r="L19" s="24">
        <v>780.6</v>
      </c>
      <c r="M19" s="24">
        <v>4011.32</v>
      </c>
      <c r="N19" s="24">
        <v>9355.34</v>
      </c>
      <c r="O19" s="24">
        <f>2628.61-25</f>
        <v>2603.61</v>
      </c>
      <c r="P19" s="24">
        <f t="shared" si="0"/>
        <v>7798.32</v>
      </c>
      <c r="Q19" s="25">
        <f t="shared" si="4"/>
        <v>30048.010000000002</v>
      </c>
      <c r="R19" s="23">
        <f>K19+N19</f>
        <v>18723.870000000003</v>
      </c>
      <c r="S19" s="31">
        <f t="shared" si="3"/>
        <v>101903.15</v>
      </c>
      <c r="T19" s="26">
        <v>111</v>
      </c>
    </row>
    <row r="20" spans="1:178" s="12" customFormat="1" ht="27" customHeight="1" x14ac:dyDescent="0.45">
      <c r="A20" s="20">
        <v>7</v>
      </c>
      <c r="B20" s="26" t="s">
        <v>79</v>
      </c>
      <c r="C20" s="20" t="s">
        <v>38</v>
      </c>
      <c r="D20" s="20" t="s">
        <v>78</v>
      </c>
      <c r="E20" s="20" t="s">
        <v>116</v>
      </c>
      <c r="F20" s="20" t="s">
        <v>85</v>
      </c>
      <c r="G20" s="29">
        <v>40000</v>
      </c>
      <c r="H20" s="24">
        <v>442.65</v>
      </c>
      <c r="I20" s="24">
        <v>25</v>
      </c>
      <c r="J20" s="24">
        <v>1148</v>
      </c>
      <c r="K20" s="22">
        <f>+G20*K12</f>
        <v>2839.9999999999995</v>
      </c>
      <c r="L20" s="60">
        <v>480</v>
      </c>
      <c r="M20" s="23">
        <f>+G20*M12</f>
        <v>1216</v>
      </c>
      <c r="N20" s="24">
        <v>2836</v>
      </c>
      <c r="O20" s="24">
        <f>6362.19-25</f>
        <v>6337.19</v>
      </c>
      <c r="P20" s="24">
        <f t="shared" si="0"/>
        <v>2364</v>
      </c>
      <c r="Q20" s="25">
        <f t="shared" si="4"/>
        <v>9168.84</v>
      </c>
      <c r="R20" s="23">
        <f t="shared" ref="R20" si="5">K20+N20</f>
        <v>5676</v>
      </c>
      <c r="S20" s="31">
        <f t="shared" si="3"/>
        <v>30831.16</v>
      </c>
      <c r="T20" s="26">
        <v>111</v>
      </c>
    </row>
    <row r="21" spans="1:178" s="12" customFormat="1" ht="27" customHeight="1" x14ac:dyDescent="0.45">
      <c r="A21" s="20"/>
      <c r="B21" s="26"/>
      <c r="C21" s="20"/>
      <c r="D21" s="20"/>
      <c r="E21" s="20"/>
      <c r="F21" s="20"/>
      <c r="G21" s="22"/>
      <c r="H21" s="24"/>
      <c r="I21" s="24"/>
      <c r="J21" s="24"/>
      <c r="K21" s="22"/>
      <c r="L21" s="22"/>
      <c r="M21" s="23"/>
      <c r="N21" s="24"/>
      <c r="O21" s="24"/>
      <c r="P21" s="24"/>
      <c r="Q21" s="25"/>
      <c r="R21" s="23"/>
      <c r="S21" s="24"/>
      <c r="T21" s="26"/>
    </row>
    <row r="22" spans="1:178" s="12" customFormat="1" ht="27" customHeight="1" x14ac:dyDescent="0.45">
      <c r="A22" s="62" t="s">
        <v>87</v>
      </c>
      <c r="B22" s="62"/>
      <c r="C22" s="62"/>
      <c r="D22" s="62"/>
      <c r="E22" s="28"/>
      <c r="F22" s="28"/>
      <c r="G22" s="29"/>
      <c r="H22" s="30"/>
      <c r="I22" s="31"/>
      <c r="J22" s="31"/>
      <c r="K22" s="29"/>
      <c r="L22" s="24"/>
      <c r="M22" s="30"/>
      <c r="N22" s="31"/>
      <c r="O22" s="31"/>
      <c r="P22" s="31"/>
      <c r="Q22" s="32"/>
      <c r="R22" s="30"/>
      <c r="S22" s="31"/>
      <c r="T22" s="33"/>
    </row>
    <row r="23" spans="1:178" s="12" customFormat="1" ht="27" customHeight="1" x14ac:dyDescent="0.45">
      <c r="A23" s="34"/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</row>
    <row r="24" spans="1:178" s="12" customFormat="1" ht="27" customHeight="1" x14ac:dyDescent="0.45">
      <c r="A24" s="20">
        <v>8</v>
      </c>
      <c r="B24" s="34" t="s">
        <v>46</v>
      </c>
      <c r="C24" s="20" t="s">
        <v>99</v>
      </c>
      <c r="D24" s="20" t="s">
        <v>47</v>
      </c>
      <c r="E24" s="20" t="s">
        <v>26</v>
      </c>
      <c r="F24" s="20" t="s">
        <v>86</v>
      </c>
      <c r="G24" s="29">
        <v>50000</v>
      </c>
      <c r="H24" s="24">
        <v>1854</v>
      </c>
      <c r="I24" s="24">
        <v>25</v>
      </c>
      <c r="J24" s="24">
        <f>+G24*J12</f>
        <v>1435</v>
      </c>
      <c r="K24" s="22">
        <f>+G24*K12</f>
        <v>3549.9999999999995</v>
      </c>
      <c r="L24" s="24">
        <v>540</v>
      </c>
      <c r="M24" s="27">
        <f>+G24*M12</f>
        <v>1520</v>
      </c>
      <c r="N24" s="24">
        <f>+G24*N12</f>
        <v>3545.0000000000005</v>
      </c>
      <c r="O24" s="24">
        <f>23076.42-25</f>
        <v>23051.42</v>
      </c>
      <c r="P24" s="24">
        <f>J24+L24</f>
        <v>1975</v>
      </c>
      <c r="Q24" s="25">
        <f>+H24+I24+J24+M24+O24</f>
        <v>27885.42</v>
      </c>
      <c r="R24" s="23">
        <f>+K24+N24</f>
        <v>7095</v>
      </c>
      <c r="S24" s="31">
        <f>+G24-Q24</f>
        <v>22114.58</v>
      </c>
      <c r="T24" s="26">
        <v>111</v>
      </c>
    </row>
    <row r="25" spans="1:178" s="12" customFormat="1" ht="27" customHeight="1" x14ac:dyDescent="0.45">
      <c r="A25" s="20"/>
      <c r="B25" s="34"/>
      <c r="C25" s="26"/>
      <c r="D25" s="26"/>
      <c r="E25" s="26"/>
      <c r="F25" s="26"/>
      <c r="G25" s="22"/>
      <c r="H25" s="24"/>
      <c r="I25" s="24"/>
      <c r="J25" s="24"/>
      <c r="K25" s="22"/>
      <c r="L25" s="24"/>
      <c r="M25" s="27"/>
      <c r="N25" s="24"/>
      <c r="O25" s="24"/>
      <c r="P25" s="24"/>
      <c r="Q25" s="25"/>
      <c r="R25" s="23"/>
      <c r="S25" s="24"/>
      <c r="T25" s="26"/>
    </row>
    <row r="26" spans="1:178" s="12" customFormat="1" ht="27" customHeight="1" x14ac:dyDescent="0.45">
      <c r="A26" s="62" t="s">
        <v>88</v>
      </c>
      <c r="B26" s="62"/>
      <c r="C26" s="62"/>
      <c r="D26" s="62"/>
      <c r="E26" s="21"/>
      <c r="F26" s="21"/>
      <c r="G26" s="22"/>
      <c r="H26" s="23"/>
      <c r="I26" s="24"/>
      <c r="J26" s="24"/>
      <c r="K26" s="22"/>
      <c r="L26" s="24"/>
      <c r="M26" s="23"/>
      <c r="N26" s="24"/>
      <c r="O26" s="24"/>
      <c r="P26" s="24"/>
      <c r="Q26" s="25"/>
      <c r="R26" s="23"/>
      <c r="S26" s="24"/>
      <c r="T26" s="26"/>
    </row>
    <row r="27" spans="1:178" s="12" customFormat="1" ht="27" customHeight="1" x14ac:dyDescent="0.45">
      <c r="A27" s="59"/>
      <c r="B27" s="28"/>
      <c r="C27" s="28"/>
      <c r="D27" s="26"/>
      <c r="E27" s="21"/>
      <c r="F27" s="21"/>
      <c r="G27" s="22"/>
      <c r="H27" s="23"/>
      <c r="I27" s="24"/>
      <c r="J27" s="24"/>
      <c r="K27" s="22"/>
      <c r="L27" s="24"/>
      <c r="M27" s="23"/>
      <c r="N27" s="24"/>
      <c r="O27" s="24"/>
      <c r="P27" s="24"/>
      <c r="Q27" s="25"/>
      <c r="R27" s="23"/>
      <c r="S27" s="24"/>
      <c r="T27" s="26"/>
    </row>
    <row r="28" spans="1:178" s="12" customFormat="1" ht="27" customHeight="1" x14ac:dyDescent="0.45">
      <c r="A28" s="20">
        <v>9</v>
      </c>
      <c r="B28" s="34" t="s">
        <v>37</v>
      </c>
      <c r="C28" s="20" t="s">
        <v>54</v>
      </c>
      <c r="D28" s="20" t="s">
        <v>105</v>
      </c>
      <c r="E28" s="20" t="s">
        <v>27</v>
      </c>
      <c r="F28" s="20" t="s">
        <v>85</v>
      </c>
      <c r="G28" s="29">
        <v>50000</v>
      </c>
      <c r="H28" s="24">
        <v>1854</v>
      </c>
      <c r="I28" s="24">
        <v>25</v>
      </c>
      <c r="J28" s="24">
        <f>+G28*J12</f>
        <v>1435</v>
      </c>
      <c r="K28" s="22">
        <f>+G28*K12</f>
        <v>3549.9999999999995</v>
      </c>
      <c r="L28" s="24">
        <v>540</v>
      </c>
      <c r="M28" s="23">
        <f>+G28*M12</f>
        <v>1520</v>
      </c>
      <c r="N28" s="24">
        <f>+G28*N12</f>
        <v>3545.0000000000005</v>
      </c>
      <c r="O28" s="24">
        <f>15953.64-25</f>
        <v>15928.64</v>
      </c>
      <c r="P28" s="24">
        <f>J28+M28</f>
        <v>2955</v>
      </c>
      <c r="Q28" s="25">
        <f>+H28+I28+J28+M28+O28</f>
        <v>20762.64</v>
      </c>
      <c r="R28" s="23">
        <f>K28+N28</f>
        <v>7095</v>
      </c>
      <c r="S28" s="31">
        <f>+G28-Q28</f>
        <v>29237.360000000001</v>
      </c>
      <c r="T28" s="26">
        <v>111</v>
      </c>
    </row>
    <row r="29" spans="1:178" s="12" customFormat="1" ht="27" customHeight="1" thickBot="1" x14ac:dyDescent="0.5">
      <c r="A29" s="20"/>
      <c r="B29" s="34"/>
      <c r="C29" s="26"/>
      <c r="D29" s="26"/>
      <c r="E29" s="26"/>
      <c r="F29" s="26"/>
      <c r="G29" s="22"/>
      <c r="H29" s="24"/>
      <c r="I29" s="24"/>
      <c r="J29" s="24"/>
      <c r="K29" s="22"/>
      <c r="L29" s="24"/>
      <c r="M29" s="23"/>
      <c r="N29" s="24"/>
      <c r="O29" s="24"/>
      <c r="P29" s="24"/>
      <c r="Q29" s="25"/>
      <c r="R29" s="23"/>
      <c r="S29" s="24"/>
      <c r="T29" s="26"/>
    </row>
    <row r="30" spans="1:178" s="35" customFormat="1" ht="27" customHeight="1" thickBot="1" x14ac:dyDescent="0.5">
      <c r="A30" s="62" t="s">
        <v>55</v>
      </c>
      <c r="B30" s="62"/>
      <c r="C30" s="62"/>
      <c r="D30" s="62"/>
      <c r="E30" s="26"/>
      <c r="F30" s="26"/>
      <c r="G30" s="22"/>
      <c r="H30" s="24"/>
      <c r="I30" s="24"/>
      <c r="J30" s="24"/>
      <c r="K30" s="22"/>
      <c r="L30" s="24"/>
      <c r="M30" s="24"/>
      <c r="N30" s="24"/>
      <c r="O30" s="24"/>
      <c r="P30" s="24"/>
      <c r="Q30" s="25"/>
      <c r="R30" s="23"/>
      <c r="S30" s="24"/>
      <c r="T30" s="26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12"/>
      <c r="BL30" s="12"/>
      <c r="BM30" s="12"/>
      <c r="BN30" s="12"/>
      <c r="BO30" s="12"/>
      <c r="BP30" s="12"/>
      <c r="BQ30" s="12"/>
      <c r="BR30" s="12"/>
      <c r="BS30" s="12"/>
      <c r="BT30" s="12"/>
      <c r="BU30" s="12"/>
      <c r="BV30" s="12"/>
      <c r="BW30" s="12"/>
      <c r="BX30" s="12"/>
      <c r="BY30" s="12"/>
      <c r="BZ30" s="12"/>
      <c r="CA30" s="12"/>
      <c r="CB30" s="12"/>
      <c r="CC30" s="12"/>
      <c r="CD30" s="12"/>
      <c r="CE30" s="12"/>
      <c r="CF30" s="12"/>
      <c r="CG30" s="12"/>
      <c r="CH30" s="12"/>
      <c r="CI30" s="12"/>
      <c r="CJ30" s="12"/>
      <c r="CK30" s="12"/>
      <c r="CL30" s="12"/>
      <c r="CM30" s="12"/>
      <c r="CN30" s="12"/>
      <c r="CO30" s="12"/>
      <c r="CP30" s="12"/>
      <c r="CQ30" s="12"/>
      <c r="CR30" s="12"/>
      <c r="CS30" s="12"/>
      <c r="CT30" s="12"/>
      <c r="CU30" s="12"/>
      <c r="CV30" s="12"/>
      <c r="CW30" s="12"/>
      <c r="CX30" s="12"/>
      <c r="CY30" s="12"/>
      <c r="CZ30" s="12"/>
      <c r="DA30" s="12"/>
      <c r="DB30" s="12"/>
      <c r="DC30" s="12"/>
      <c r="DD30" s="12"/>
      <c r="DE30" s="12"/>
      <c r="DF30" s="12"/>
      <c r="DG30" s="12"/>
      <c r="DH30" s="12"/>
      <c r="DI30" s="12"/>
      <c r="DJ30" s="12"/>
      <c r="DK30" s="12"/>
      <c r="DL30" s="12"/>
      <c r="DM30" s="12"/>
      <c r="DN30" s="12"/>
      <c r="DO30" s="12"/>
      <c r="DP30" s="12"/>
      <c r="DQ30" s="12"/>
      <c r="DR30" s="12"/>
      <c r="DS30" s="12"/>
      <c r="DT30" s="12"/>
      <c r="DU30" s="12"/>
      <c r="DV30" s="12"/>
      <c r="DW30" s="12"/>
      <c r="DX30" s="12"/>
      <c r="DY30" s="12"/>
      <c r="DZ30" s="12"/>
      <c r="EA30" s="12"/>
      <c r="EB30" s="12"/>
      <c r="EC30" s="12"/>
      <c r="ED30" s="12"/>
      <c r="EE30" s="12"/>
      <c r="EF30" s="12"/>
      <c r="EG30" s="12"/>
      <c r="EH30" s="12"/>
      <c r="EI30" s="12"/>
      <c r="EJ30" s="12"/>
      <c r="EK30" s="12"/>
      <c r="EL30" s="12"/>
      <c r="EM30" s="12"/>
      <c r="EN30" s="12"/>
      <c r="EO30" s="12"/>
      <c r="EP30" s="12"/>
      <c r="EQ30" s="12"/>
      <c r="ER30" s="12"/>
      <c r="ES30" s="12"/>
      <c r="ET30" s="12"/>
      <c r="EU30" s="12"/>
      <c r="EV30" s="12"/>
      <c r="EW30" s="12"/>
      <c r="EX30" s="12"/>
      <c r="EY30" s="12"/>
      <c r="EZ30" s="12"/>
      <c r="FA30" s="12"/>
      <c r="FB30" s="12"/>
      <c r="FC30" s="12"/>
      <c r="FD30" s="12"/>
      <c r="FE30" s="12"/>
      <c r="FF30" s="12"/>
      <c r="FG30" s="12"/>
      <c r="FH30" s="12"/>
      <c r="FI30" s="12"/>
      <c r="FJ30" s="12"/>
      <c r="FK30" s="12"/>
      <c r="FL30" s="12"/>
      <c r="FM30" s="12"/>
      <c r="FN30" s="12"/>
      <c r="FO30" s="12"/>
      <c r="FP30" s="12"/>
      <c r="FQ30" s="12"/>
      <c r="FR30" s="12"/>
      <c r="FS30" s="12"/>
      <c r="FT30" s="12"/>
      <c r="FU30" s="12"/>
      <c r="FV30" s="12"/>
    </row>
    <row r="31" spans="1:178" s="12" customFormat="1" ht="27" customHeight="1" x14ac:dyDescent="0.45">
      <c r="A31" s="28"/>
      <c r="B31" s="28"/>
      <c r="C31" s="28"/>
      <c r="D31" s="26"/>
      <c r="E31" s="26"/>
      <c r="F31" s="26"/>
      <c r="G31" s="22"/>
      <c r="H31" s="24"/>
      <c r="I31" s="24"/>
      <c r="J31" s="24"/>
      <c r="K31" s="22"/>
      <c r="L31" s="24"/>
      <c r="M31" s="24"/>
      <c r="N31" s="24"/>
      <c r="O31" s="24"/>
      <c r="P31" s="24"/>
      <c r="Q31" s="25"/>
      <c r="R31" s="23"/>
      <c r="S31" s="24"/>
      <c r="T31" s="26"/>
    </row>
    <row r="32" spans="1:178" s="12" customFormat="1" ht="27" customHeight="1" x14ac:dyDescent="0.45">
      <c r="A32" s="20">
        <v>10</v>
      </c>
      <c r="B32" s="26" t="s">
        <v>25</v>
      </c>
      <c r="C32" s="20" t="s">
        <v>53</v>
      </c>
      <c r="D32" s="20" t="s">
        <v>51</v>
      </c>
      <c r="E32" s="20" t="s">
        <v>26</v>
      </c>
      <c r="F32" s="20" t="s">
        <v>85</v>
      </c>
      <c r="G32" s="29">
        <v>75000</v>
      </c>
      <c r="H32" s="24">
        <v>5925.42</v>
      </c>
      <c r="I32" s="24">
        <v>25</v>
      </c>
      <c r="J32" s="24">
        <v>2152.5</v>
      </c>
      <c r="K32" s="22">
        <f>G32*K12</f>
        <v>5324.9999999999991</v>
      </c>
      <c r="L32" s="24">
        <v>780.6</v>
      </c>
      <c r="M32" s="24">
        <f>+G32*M12</f>
        <v>2280</v>
      </c>
      <c r="N32" s="24">
        <f>G32*N12</f>
        <v>5317.5</v>
      </c>
      <c r="O32" s="24">
        <f>15975.79-25</f>
        <v>15950.79</v>
      </c>
      <c r="P32" s="24">
        <v>13726.05</v>
      </c>
      <c r="Q32" s="25">
        <f t="shared" ref="Q32:Q38" si="6">+H32+I32+J32+M32+O32</f>
        <v>26333.71</v>
      </c>
      <c r="R32" s="23">
        <f t="shared" ref="R32:R36" si="7">K32+N32</f>
        <v>10642.5</v>
      </c>
      <c r="S32" s="31">
        <f t="shared" ref="S32:S34" si="8">G32-Q32</f>
        <v>48666.29</v>
      </c>
      <c r="T32" s="26">
        <v>111</v>
      </c>
    </row>
    <row r="33" spans="1:20" s="12" customFormat="1" ht="27" customHeight="1" x14ac:dyDescent="0.45">
      <c r="A33" s="20">
        <v>11</v>
      </c>
      <c r="B33" s="26" t="s">
        <v>32</v>
      </c>
      <c r="C33" s="20" t="s">
        <v>53</v>
      </c>
      <c r="D33" s="20" t="s">
        <v>108</v>
      </c>
      <c r="E33" s="20" t="s">
        <v>26</v>
      </c>
      <c r="F33" s="20" t="s">
        <v>85</v>
      </c>
      <c r="G33" s="29">
        <v>50000</v>
      </c>
      <c r="H33" s="24">
        <v>1566.03</v>
      </c>
      <c r="I33" s="24">
        <v>25</v>
      </c>
      <c r="J33" s="24">
        <v>1435</v>
      </c>
      <c r="K33" s="22">
        <f>G33*K12</f>
        <v>3549.9999999999995</v>
      </c>
      <c r="L33" s="24">
        <v>600</v>
      </c>
      <c r="M33" s="24">
        <f>+G33*M12</f>
        <v>1520</v>
      </c>
      <c r="N33" s="24">
        <f>G33*N12</f>
        <v>3545.0000000000005</v>
      </c>
      <c r="O33" s="24">
        <f>16200.06-25</f>
        <v>16175.06</v>
      </c>
      <c r="P33" s="24">
        <v>9044.4639999999999</v>
      </c>
      <c r="Q33" s="25">
        <f t="shared" si="6"/>
        <v>20721.09</v>
      </c>
      <c r="R33" s="23">
        <f t="shared" si="7"/>
        <v>7095</v>
      </c>
      <c r="S33" s="31">
        <f t="shared" si="8"/>
        <v>29278.91</v>
      </c>
      <c r="T33" s="26">
        <v>111</v>
      </c>
    </row>
    <row r="34" spans="1:20" s="12" customFormat="1" ht="27" customHeight="1" x14ac:dyDescent="0.45">
      <c r="A34" s="20">
        <v>12</v>
      </c>
      <c r="B34" s="26" t="s">
        <v>36</v>
      </c>
      <c r="C34" s="20" t="s">
        <v>53</v>
      </c>
      <c r="D34" s="20" t="s">
        <v>112</v>
      </c>
      <c r="E34" s="20" t="s">
        <v>26</v>
      </c>
      <c r="F34" s="20" t="s">
        <v>85</v>
      </c>
      <c r="G34" s="29">
        <v>50000</v>
      </c>
      <c r="H34" s="24">
        <v>1566.03</v>
      </c>
      <c r="I34" s="24">
        <v>25</v>
      </c>
      <c r="J34" s="24">
        <v>1435</v>
      </c>
      <c r="K34" s="22">
        <f>G34*K12</f>
        <v>3549.9999999999995</v>
      </c>
      <c r="L34" s="24">
        <v>480</v>
      </c>
      <c r="M34" s="23">
        <f>+G34*M12</f>
        <v>1520</v>
      </c>
      <c r="N34" s="24">
        <f>G34*N12</f>
        <v>3545.0000000000005</v>
      </c>
      <c r="O34" s="24">
        <f>32115.53-25</f>
        <v>32090.53</v>
      </c>
      <c r="P34" s="24">
        <v>5300</v>
      </c>
      <c r="Q34" s="25">
        <f t="shared" si="6"/>
        <v>36636.559999999998</v>
      </c>
      <c r="R34" s="23">
        <f t="shared" si="7"/>
        <v>7095</v>
      </c>
      <c r="S34" s="31">
        <f t="shared" si="8"/>
        <v>13363.440000000002</v>
      </c>
      <c r="T34" s="26">
        <v>111</v>
      </c>
    </row>
    <row r="35" spans="1:20" s="12" customFormat="1" ht="27" customHeight="1" x14ac:dyDescent="0.45">
      <c r="A35" s="20">
        <v>13</v>
      </c>
      <c r="B35" s="26" t="s">
        <v>68</v>
      </c>
      <c r="C35" s="20" t="s">
        <v>53</v>
      </c>
      <c r="D35" s="20" t="s">
        <v>35</v>
      </c>
      <c r="E35" s="20" t="s">
        <v>50</v>
      </c>
      <c r="F35" s="20" t="s">
        <v>86</v>
      </c>
      <c r="G35" s="29">
        <v>22000</v>
      </c>
      <c r="H35" s="24">
        <v>0</v>
      </c>
      <c r="I35" s="24">
        <v>25</v>
      </c>
      <c r="J35" s="24">
        <f>G35*J12</f>
        <v>631.4</v>
      </c>
      <c r="K35" s="22">
        <f>G35*K12</f>
        <v>1561.9999999999998</v>
      </c>
      <c r="L35" s="22">
        <v>264</v>
      </c>
      <c r="M35" s="23">
        <f>G35*M12</f>
        <v>668.8</v>
      </c>
      <c r="N35" s="24">
        <v>1559.8</v>
      </c>
      <c r="O35" s="24">
        <f>12205.44-25</f>
        <v>12180.44</v>
      </c>
      <c r="P35" s="24">
        <v>4260</v>
      </c>
      <c r="Q35" s="25">
        <f t="shared" si="6"/>
        <v>13505.64</v>
      </c>
      <c r="R35" s="23">
        <v>3078</v>
      </c>
      <c r="S35" s="31">
        <f>G35-Q35</f>
        <v>8494.36</v>
      </c>
      <c r="T35" s="26">
        <v>111</v>
      </c>
    </row>
    <row r="36" spans="1:20" s="12" customFormat="1" ht="27" customHeight="1" x14ac:dyDescent="0.45">
      <c r="A36" s="20">
        <v>14</v>
      </c>
      <c r="B36" s="26" t="s">
        <v>77</v>
      </c>
      <c r="C36" s="20" t="s">
        <v>53</v>
      </c>
      <c r="D36" s="20" t="s">
        <v>33</v>
      </c>
      <c r="E36" s="20" t="s">
        <v>50</v>
      </c>
      <c r="F36" s="20" t="s">
        <v>85</v>
      </c>
      <c r="G36" s="29">
        <v>21000</v>
      </c>
      <c r="H36" s="24">
        <v>0</v>
      </c>
      <c r="I36" s="24">
        <v>25</v>
      </c>
      <c r="J36" s="24">
        <v>602.70000000000005</v>
      </c>
      <c r="K36" s="22">
        <f>+G36*K12</f>
        <v>1490.9999999999998</v>
      </c>
      <c r="L36" s="22">
        <v>211.2</v>
      </c>
      <c r="M36" s="23">
        <f>+G36*M12</f>
        <v>638.4</v>
      </c>
      <c r="N36" s="24">
        <v>1247.8399999999999</v>
      </c>
      <c r="O36" s="24">
        <f>6455-25</f>
        <v>6430</v>
      </c>
      <c r="P36" s="24">
        <f t="shared" ref="P36" si="9">J36+M36</f>
        <v>1241.0999999999999</v>
      </c>
      <c r="Q36" s="25">
        <f t="shared" si="6"/>
        <v>7696.1</v>
      </c>
      <c r="R36" s="23">
        <f t="shared" si="7"/>
        <v>2738.8399999999997</v>
      </c>
      <c r="S36" s="31">
        <f t="shared" ref="S36" si="10">G36-Q36</f>
        <v>13303.9</v>
      </c>
      <c r="T36" s="26">
        <v>111</v>
      </c>
    </row>
    <row r="37" spans="1:20" s="12" customFormat="1" ht="27" customHeight="1" x14ac:dyDescent="0.45">
      <c r="A37" s="20">
        <v>15</v>
      </c>
      <c r="B37" s="26" t="s">
        <v>110</v>
      </c>
      <c r="C37" s="20" t="s">
        <v>53</v>
      </c>
      <c r="D37" s="20" t="s">
        <v>33</v>
      </c>
      <c r="E37" s="20" t="s">
        <v>50</v>
      </c>
      <c r="F37" s="20" t="s">
        <v>85</v>
      </c>
      <c r="G37" s="29">
        <v>17000</v>
      </c>
      <c r="H37" s="24">
        <v>0</v>
      </c>
      <c r="I37" s="24">
        <v>25</v>
      </c>
      <c r="J37" s="24">
        <v>487.9</v>
      </c>
      <c r="K37" s="22">
        <f>+G37*K12</f>
        <v>1207</v>
      </c>
      <c r="L37" s="24">
        <v>204</v>
      </c>
      <c r="M37" s="23">
        <f>+G37*M12</f>
        <v>516.79999999999995</v>
      </c>
      <c r="N37" s="24">
        <v>1205.3</v>
      </c>
      <c r="O37" s="24">
        <f>4681.43-25</f>
        <v>4656.43</v>
      </c>
      <c r="P37" s="24">
        <f t="shared" ref="P37:P38" si="11">J37+M37</f>
        <v>1004.6999999999999</v>
      </c>
      <c r="Q37" s="25">
        <f t="shared" si="6"/>
        <v>5686.13</v>
      </c>
      <c r="R37" s="23">
        <f t="shared" ref="R37:R38" si="12">K37+N37</f>
        <v>2412.3000000000002</v>
      </c>
      <c r="S37" s="31">
        <f t="shared" ref="S37:S38" si="13">G37-Q37</f>
        <v>11313.869999999999</v>
      </c>
      <c r="T37" s="26">
        <v>111</v>
      </c>
    </row>
    <row r="38" spans="1:20" s="12" customFormat="1" ht="27" customHeight="1" x14ac:dyDescent="0.45">
      <c r="A38" s="20">
        <v>16</v>
      </c>
      <c r="B38" s="26" t="s">
        <v>117</v>
      </c>
      <c r="C38" s="20" t="s">
        <v>53</v>
      </c>
      <c r="D38" s="20" t="s">
        <v>108</v>
      </c>
      <c r="E38" s="20" t="s">
        <v>26</v>
      </c>
      <c r="F38" s="20" t="s">
        <v>86</v>
      </c>
      <c r="G38" s="29">
        <v>40000</v>
      </c>
      <c r="H38" s="24">
        <v>442.65</v>
      </c>
      <c r="I38" s="24">
        <v>25</v>
      </c>
      <c r="J38" s="24">
        <v>1148</v>
      </c>
      <c r="K38" s="22">
        <f>+G38*K12</f>
        <v>2839.9999999999995</v>
      </c>
      <c r="L38" s="60">
        <v>480</v>
      </c>
      <c r="M38" s="23">
        <f>+G38*M12</f>
        <v>1216</v>
      </c>
      <c r="N38" s="24">
        <f>+G38*N12</f>
        <v>2836</v>
      </c>
      <c r="O38" s="24">
        <v>0</v>
      </c>
      <c r="P38" s="24">
        <f t="shared" si="11"/>
        <v>2364</v>
      </c>
      <c r="Q38" s="25">
        <f t="shared" si="6"/>
        <v>2831.65</v>
      </c>
      <c r="R38" s="23">
        <f t="shared" si="12"/>
        <v>5676</v>
      </c>
      <c r="S38" s="31">
        <f t="shared" si="13"/>
        <v>37168.35</v>
      </c>
      <c r="T38" s="26">
        <v>111</v>
      </c>
    </row>
    <row r="39" spans="1:20" s="12" customFormat="1" ht="27" customHeight="1" x14ac:dyDescent="0.45">
      <c r="A39" s="20"/>
      <c r="B39" s="26"/>
      <c r="C39" s="26"/>
      <c r="D39" s="26"/>
      <c r="E39" s="26"/>
      <c r="F39" s="26"/>
      <c r="G39" s="22"/>
      <c r="H39" s="24"/>
      <c r="I39" s="24"/>
      <c r="J39" s="24"/>
      <c r="K39" s="22"/>
      <c r="L39" s="24"/>
      <c r="M39" s="23"/>
      <c r="N39" s="24"/>
      <c r="O39" s="24"/>
      <c r="P39" s="24"/>
      <c r="Q39" s="25"/>
      <c r="R39" s="23"/>
      <c r="S39" s="24"/>
      <c r="T39" s="26"/>
    </row>
    <row r="40" spans="1:20" s="12" customFormat="1" ht="27" customHeight="1" x14ac:dyDescent="0.45">
      <c r="A40" s="62" t="s">
        <v>89</v>
      </c>
      <c r="B40" s="62"/>
      <c r="C40" s="62"/>
      <c r="D40" s="62"/>
      <c r="E40" s="26"/>
      <c r="F40" s="26"/>
      <c r="G40" s="22"/>
      <c r="H40" s="24"/>
      <c r="I40" s="24"/>
      <c r="J40" s="24"/>
      <c r="K40" s="22"/>
      <c r="L40" s="24"/>
      <c r="M40" s="24"/>
      <c r="N40" s="24"/>
      <c r="O40" s="24"/>
      <c r="P40" s="24"/>
      <c r="Q40" s="25"/>
      <c r="R40" s="23"/>
      <c r="S40" s="24"/>
      <c r="T40" s="26"/>
    </row>
    <row r="41" spans="1:20" s="12" customFormat="1" ht="27" customHeight="1" x14ac:dyDescent="0.45">
      <c r="A41" s="20">
        <v>17</v>
      </c>
      <c r="B41" s="26" t="s">
        <v>109</v>
      </c>
      <c r="C41" s="20" t="s">
        <v>92</v>
      </c>
      <c r="D41" s="20" t="s">
        <v>111</v>
      </c>
      <c r="E41" s="20" t="s">
        <v>26</v>
      </c>
      <c r="F41" s="20" t="s">
        <v>85</v>
      </c>
      <c r="G41" s="29">
        <v>55000</v>
      </c>
      <c r="H41" s="24">
        <v>2559.6799999999998</v>
      </c>
      <c r="I41" s="24">
        <v>25</v>
      </c>
      <c r="J41" s="24">
        <v>1578.5</v>
      </c>
      <c r="K41" s="22">
        <v>3905</v>
      </c>
      <c r="L41" s="24">
        <v>660</v>
      </c>
      <c r="M41" s="24">
        <v>1672</v>
      </c>
      <c r="N41" s="24">
        <v>3899.5</v>
      </c>
      <c r="O41" s="24">
        <f>225-25</f>
        <v>200</v>
      </c>
      <c r="P41" s="24">
        <v>9044.4639999999999</v>
      </c>
      <c r="Q41" s="25">
        <f>+H41+I41+J41+M41+O41</f>
        <v>6035.18</v>
      </c>
      <c r="R41" s="23">
        <f t="shared" ref="R41" si="14">K41+N41</f>
        <v>7804.5</v>
      </c>
      <c r="S41" s="31">
        <f t="shared" ref="S41" si="15">G41-Q41</f>
        <v>48964.82</v>
      </c>
      <c r="T41" s="26">
        <v>111</v>
      </c>
    </row>
    <row r="42" spans="1:20" s="12" customFormat="1" ht="27" customHeight="1" x14ac:dyDescent="0.45">
      <c r="A42" s="20"/>
      <c r="B42" s="26"/>
      <c r="C42" s="26"/>
      <c r="D42" s="26"/>
      <c r="E42" s="26"/>
      <c r="F42" s="26"/>
      <c r="G42" s="22"/>
      <c r="H42" s="24"/>
      <c r="I42" s="24"/>
      <c r="J42" s="24"/>
      <c r="K42" s="22"/>
      <c r="L42" s="24"/>
      <c r="M42" s="24"/>
      <c r="N42" s="24"/>
      <c r="O42" s="24"/>
      <c r="P42" s="24"/>
      <c r="Q42" s="25"/>
      <c r="R42" s="23"/>
      <c r="S42" s="24"/>
      <c r="T42" s="26"/>
    </row>
    <row r="43" spans="1:20" s="12" customFormat="1" ht="27" customHeight="1" x14ac:dyDescent="0.45">
      <c r="A43" s="62" t="s">
        <v>59</v>
      </c>
      <c r="B43" s="62"/>
      <c r="C43" s="62"/>
      <c r="D43" s="62"/>
      <c r="E43" s="26"/>
      <c r="F43" s="26"/>
      <c r="G43" s="22"/>
      <c r="H43" s="24"/>
      <c r="I43" s="24"/>
      <c r="J43" s="24"/>
      <c r="K43" s="22"/>
      <c r="L43" s="24"/>
      <c r="M43" s="24"/>
      <c r="N43" s="24"/>
      <c r="O43" s="24"/>
      <c r="P43" s="24"/>
      <c r="Q43" s="25"/>
      <c r="R43" s="23"/>
      <c r="S43" s="24"/>
      <c r="T43" s="26"/>
    </row>
    <row r="44" spans="1:20" s="12" customFormat="1" ht="27" customHeight="1" x14ac:dyDescent="0.45">
      <c r="A44" s="28"/>
      <c r="B44" s="28"/>
      <c r="C44" s="28"/>
      <c r="D44" s="26"/>
      <c r="E44" s="26"/>
      <c r="F44" s="26"/>
      <c r="G44" s="22"/>
      <c r="H44" s="24"/>
      <c r="I44" s="24"/>
      <c r="J44" s="24"/>
      <c r="K44" s="22"/>
      <c r="L44" s="24"/>
      <c r="M44" s="24"/>
      <c r="N44" s="24"/>
      <c r="O44" s="24"/>
      <c r="P44" s="24"/>
      <c r="Q44" s="25"/>
      <c r="R44" s="23"/>
      <c r="S44" s="24"/>
      <c r="T44" s="26"/>
    </row>
    <row r="45" spans="1:20" s="12" customFormat="1" ht="27" customHeight="1" x14ac:dyDescent="0.45">
      <c r="A45" s="20">
        <v>18</v>
      </c>
      <c r="B45" s="26" t="s">
        <v>56</v>
      </c>
      <c r="C45" s="20" t="s">
        <v>40</v>
      </c>
      <c r="D45" s="20" t="s">
        <v>40</v>
      </c>
      <c r="E45" s="20" t="s">
        <v>26</v>
      </c>
      <c r="F45" s="20" t="s">
        <v>86</v>
      </c>
      <c r="G45" s="29">
        <v>137000</v>
      </c>
      <c r="H45" s="24">
        <v>20808.689999999999</v>
      </c>
      <c r="I45" s="24">
        <v>25</v>
      </c>
      <c r="J45" s="24">
        <f>+G45*J12</f>
        <v>3931.9</v>
      </c>
      <c r="K45" s="22">
        <f>+G45*K12</f>
        <v>9727</v>
      </c>
      <c r="L45" s="24">
        <v>780.6</v>
      </c>
      <c r="M45" s="24">
        <f>+G45*M12</f>
        <v>4164.8</v>
      </c>
      <c r="N45" s="24">
        <f>+G45*N12</f>
        <v>9713.3000000000011</v>
      </c>
      <c r="O45" s="24">
        <f>59075.67-25</f>
        <v>59050.67</v>
      </c>
      <c r="P45" s="24">
        <v>20588.750791999999</v>
      </c>
      <c r="Q45" s="25">
        <f>+H45+I45+J45+M45+O45</f>
        <v>87981.06</v>
      </c>
      <c r="R45" s="23">
        <f>K45+N45</f>
        <v>19440.300000000003</v>
      </c>
      <c r="S45" s="31">
        <f>G45-Q45</f>
        <v>49018.94</v>
      </c>
      <c r="T45" s="26">
        <v>111</v>
      </c>
    </row>
    <row r="46" spans="1:20" s="12" customFormat="1" ht="27" customHeight="1" x14ac:dyDescent="0.45">
      <c r="A46" s="20">
        <v>19</v>
      </c>
      <c r="B46" s="26" t="s">
        <v>30</v>
      </c>
      <c r="C46" s="20" t="s">
        <v>95</v>
      </c>
      <c r="D46" s="20" t="s">
        <v>31</v>
      </c>
      <c r="E46" s="20" t="s">
        <v>26</v>
      </c>
      <c r="F46" s="20" t="s">
        <v>85</v>
      </c>
      <c r="G46" s="29">
        <v>102866.5</v>
      </c>
      <c r="H46" s="24">
        <v>12779.64</v>
      </c>
      <c r="I46" s="24">
        <v>25</v>
      </c>
      <c r="J46" s="24">
        <f>+G46*J12</f>
        <v>2952.2685499999998</v>
      </c>
      <c r="K46" s="22">
        <f>+G46*K12</f>
        <v>7303.5214999999989</v>
      </c>
      <c r="L46" s="24">
        <v>780.6</v>
      </c>
      <c r="M46" s="24">
        <f>+G46*M12</f>
        <v>3127.1415999999999</v>
      </c>
      <c r="N46" s="24">
        <f>+G46*N12</f>
        <v>7293.2348500000007</v>
      </c>
      <c r="O46" s="24">
        <f>19049.85-25</f>
        <v>19024.849999999999</v>
      </c>
      <c r="P46" s="24">
        <v>13401.136500000001</v>
      </c>
      <c r="Q46" s="25">
        <f>+H46+I46+J46+M46+O46</f>
        <v>37908.900150000001</v>
      </c>
      <c r="R46" s="23">
        <f>K46+N46</f>
        <v>14596.75635</v>
      </c>
      <c r="S46" s="31">
        <f>G46-Q46</f>
        <v>64957.599849999999</v>
      </c>
      <c r="T46" s="26"/>
    </row>
    <row r="47" spans="1:20" s="12" customFormat="1" ht="27" customHeight="1" x14ac:dyDescent="0.45">
      <c r="A47" s="20"/>
      <c r="B47" s="26"/>
      <c r="C47" s="20"/>
      <c r="D47" s="20"/>
      <c r="E47" s="20"/>
      <c r="F47" s="20"/>
      <c r="G47" s="22"/>
      <c r="H47" s="24"/>
      <c r="I47" s="24"/>
      <c r="J47" s="24"/>
      <c r="K47" s="22"/>
      <c r="L47" s="24"/>
      <c r="M47" s="24"/>
      <c r="N47" s="24"/>
      <c r="O47" s="24"/>
      <c r="P47" s="24"/>
      <c r="Q47" s="25"/>
      <c r="R47" s="23"/>
      <c r="S47" s="24"/>
      <c r="T47" s="26"/>
    </row>
    <row r="48" spans="1:20" s="12" customFormat="1" ht="27" customHeight="1" x14ac:dyDescent="0.45">
      <c r="A48" s="63" t="s">
        <v>70</v>
      </c>
      <c r="B48" s="63"/>
      <c r="C48" s="63"/>
      <c r="D48" s="63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</row>
    <row r="49" spans="1:20" s="12" customFormat="1" ht="27" customHeight="1" x14ac:dyDescent="0.45">
      <c r="A49" s="20"/>
      <c r="B49" s="34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</row>
    <row r="50" spans="1:20" s="12" customFormat="1" ht="27" customHeight="1" x14ac:dyDescent="0.45">
      <c r="A50" s="20">
        <v>20</v>
      </c>
      <c r="B50" s="26" t="s">
        <v>29</v>
      </c>
      <c r="C50" s="20" t="s">
        <v>43</v>
      </c>
      <c r="D50" s="20" t="s">
        <v>44</v>
      </c>
      <c r="E50" s="20" t="s">
        <v>27</v>
      </c>
      <c r="F50" s="20" t="s">
        <v>86</v>
      </c>
      <c r="G50" s="29">
        <v>137000</v>
      </c>
      <c r="H50" s="24">
        <v>20808.689999999999</v>
      </c>
      <c r="I50" s="24">
        <v>25</v>
      </c>
      <c r="J50" s="24">
        <f>+G50*J12</f>
        <v>3931.9</v>
      </c>
      <c r="K50" s="22">
        <f>G50*K12</f>
        <v>9727</v>
      </c>
      <c r="L50" s="24">
        <v>780.6</v>
      </c>
      <c r="M50" s="24">
        <f>+G50*M12</f>
        <v>4164.8</v>
      </c>
      <c r="N50" s="24">
        <f>G50*N12</f>
        <v>9713.3000000000011</v>
      </c>
      <c r="O50" s="24">
        <f>11053.97-25</f>
        <v>11028.97</v>
      </c>
      <c r="P50" s="24">
        <v>20588.750791999999</v>
      </c>
      <c r="Q50" s="25">
        <f>+H50+I50+J50+M50+O50</f>
        <v>39959.360000000001</v>
      </c>
      <c r="R50" s="23">
        <f t="shared" ref="R50" si="16">K50+N50</f>
        <v>19440.300000000003</v>
      </c>
      <c r="S50" s="31">
        <f t="shared" ref="S50" si="17">G50-Q50</f>
        <v>97040.639999999999</v>
      </c>
      <c r="T50" s="26">
        <v>111</v>
      </c>
    </row>
    <row r="51" spans="1:20" s="12" customFormat="1" ht="27" customHeight="1" x14ac:dyDescent="0.45">
      <c r="A51" s="36"/>
      <c r="B51" s="26"/>
      <c r="C51" s="26"/>
      <c r="D51" s="26"/>
      <c r="E51" s="21"/>
      <c r="F51" s="21"/>
      <c r="G51" s="22"/>
      <c r="H51" s="24"/>
      <c r="I51" s="24"/>
      <c r="J51" s="24"/>
      <c r="K51" s="22"/>
      <c r="L51" s="24"/>
      <c r="M51" s="23"/>
      <c r="N51" s="24"/>
      <c r="O51" s="24"/>
      <c r="P51" s="24"/>
      <c r="Q51" s="25"/>
      <c r="R51" s="23"/>
      <c r="S51" s="24"/>
      <c r="T51" s="26"/>
    </row>
    <row r="52" spans="1:20" s="12" customFormat="1" ht="27" customHeight="1" x14ac:dyDescent="0.45">
      <c r="A52" s="63" t="s">
        <v>57</v>
      </c>
      <c r="B52" s="63"/>
      <c r="C52" s="63"/>
      <c r="D52" s="63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</row>
    <row r="53" spans="1:20" s="12" customFormat="1" ht="27" customHeight="1" x14ac:dyDescent="0.45">
      <c r="A53" s="34"/>
      <c r="B53" s="34"/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</row>
    <row r="54" spans="1:20" s="12" customFormat="1" ht="27" customHeight="1" x14ac:dyDescent="0.45">
      <c r="A54" s="20">
        <v>21</v>
      </c>
      <c r="B54" s="26" t="s">
        <v>34</v>
      </c>
      <c r="C54" s="20" t="s">
        <v>60</v>
      </c>
      <c r="D54" s="37" t="s">
        <v>58</v>
      </c>
      <c r="E54" s="20" t="s">
        <v>27</v>
      </c>
      <c r="F54" s="20" t="s">
        <v>86</v>
      </c>
      <c r="G54" s="29">
        <v>137000</v>
      </c>
      <c r="H54" s="24">
        <v>20808.689999999999</v>
      </c>
      <c r="I54" s="24">
        <v>25</v>
      </c>
      <c r="J54" s="24">
        <f>+G54*J12</f>
        <v>3931.9</v>
      </c>
      <c r="K54" s="22">
        <f>+G54*K12</f>
        <v>9727</v>
      </c>
      <c r="L54" s="24">
        <v>780.6</v>
      </c>
      <c r="M54" s="24">
        <f>+G54*M12</f>
        <v>4164.8</v>
      </c>
      <c r="N54" s="24">
        <f>+G54*N12</f>
        <v>9713.3000000000011</v>
      </c>
      <c r="O54" s="24">
        <f>2841.11-25</f>
        <v>2816.11</v>
      </c>
      <c r="P54" s="24">
        <v>20588.750791999999</v>
      </c>
      <c r="Q54" s="25">
        <f>+H54+I54+J54+M54+O54</f>
        <v>31746.5</v>
      </c>
      <c r="R54" s="23">
        <f>K54+N54</f>
        <v>19440.300000000003</v>
      </c>
      <c r="S54" s="31">
        <f>G54-Q54</f>
        <v>105253.5</v>
      </c>
      <c r="T54" s="26">
        <v>111</v>
      </c>
    </row>
    <row r="55" spans="1:20" s="12" customFormat="1" ht="27" customHeight="1" x14ac:dyDescent="0.45">
      <c r="A55" s="20"/>
      <c r="B55" s="26"/>
      <c r="C55" s="26"/>
      <c r="D55" s="26"/>
      <c r="E55" s="21"/>
      <c r="F55" s="21"/>
      <c r="G55" s="22"/>
      <c r="H55" s="24"/>
      <c r="I55" s="24"/>
      <c r="J55" s="24"/>
      <c r="K55" s="22"/>
      <c r="L55" s="24"/>
      <c r="M55" s="24"/>
      <c r="N55" s="24"/>
      <c r="O55" s="24"/>
      <c r="P55" s="24"/>
      <c r="Q55" s="25"/>
      <c r="R55" s="23"/>
      <c r="S55" s="24"/>
      <c r="T55" s="26"/>
    </row>
    <row r="56" spans="1:20" s="12" customFormat="1" ht="27" customHeight="1" x14ac:dyDescent="0.45">
      <c r="A56" s="63" t="s">
        <v>90</v>
      </c>
      <c r="B56" s="63"/>
      <c r="C56" s="63"/>
      <c r="D56" s="63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</row>
    <row r="57" spans="1:20" s="12" customFormat="1" ht="27" customHeight="1" x14ac:dyDescent="0.45">
      <c r="A57" s="20"/>
      <c r="B57" s="34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</row>
    <row r="58" spans="1:20" s="12" customFormat="1" ht="27" customHeight="1" x14ac:dyDescent="0.45">
      <c r="A58" s="20">
        <v>22</v>
      </c>
      <c r="B58" s="26" t="s">
        <v>28</v>
      </c>
      <c r="C58" s="20" t="s">
        <v>104</v>
      </c>
      <c r="D58" s="20" t="s">
        <v>103</v>
      </c>
      <c r="E58" s="20" t="s">
        <v>26</v>
      </c>
      <c r="F58" s="20" t="s">
        <v>86</v>
      </c>
      <c r="G58" s="29">
        <v>137000</v>
      </c>
      <c r="H58" s="24">
        <v>20808.689999999999</v>
      </c>
      <c r="I58" s="24">
        <v>25</v>
      </c>
      <c r="J58" s="24">
        <f>+G58*J12</f>
        <v>3931.9</v>
      </c>
      <c r="K58" s="22">
        <f>+G58*K12</f>
        <v>9727</v>
      </c>
      <c r="L58" s="24">
        <v>780.6</v>
      </c>
      <c r="M58" s="24">
        <f>+G58*M12</f>
        <v>4164.8</v>
      </c>
      <c r="N58" s="24">
        <f>+G58*N12</f>
        <v>9713.3000000000011</v>
      </c>
      <c r="O58" s="24">
        <f>19272.4-25</f>
        <v>19247.400000000001</v>
      </c>
      <c r="P58" s="24">
        <v>20588.750791999999</v>
      </c>
      <c r="Q58" s="25">
        <f>+H58+I58+J58+M58+O58</f>
        <v>48177.79</v>
      </c>
      <c r="R58" s="23">
        <f>K58+N58</f>
        <v>19440.300000000003</v>
      </c>
      <c r="S58" s="31">
        <f>G58-Q58</f>
        <v>88822.209999999992</v>
      </c>
      <c r="T58" s="26">
        <v>111</v>
      </c>
    </row>
    <row r="59" spans="1:20" s="12" customFormat="1" ht="27" customHeight="1" x14ac:dyDescent="0.45">
      <c r="A59" s="20">
        <v>23</v>
      </c>
      <c r="B59" s="26" t="s">
        <v>113</v>
      </c>
      <c r="C59" s="20" t="s">
        <v>104</v>
      </c>
      <c r="D59" s="20" t="s">
        <v>31</v>
      </c>
      <c r="E59" s="20" t="s">
        <v>26</v>
      </c>
      <c r="F59" s="20" t="s">
        <v>86</v>
      </c>
      <c r="G59" s="29">
        <v>102151.5</v>
      </c>
      <c r="H59" s="24">
        <v>12611.45</v>
      </c>
      <c r="I59" s="24">
        <v>25</v>
      </c>
      <c r="J59" s="24">
        <v>2931.75</v>
      </c>
      <c r="K59" s="22">
        <f>G59*K12</f>
        <v>7252.7564999999995</v>
      </c>
      <c r="L59" s="24">
        <v>780.6</v>
      </c>
      <c r="M59" s="24">
        <v>3105.41</v>
      </c>
      <c r="N59" s="24">
        <f>G59*N12</f>
        <v>7242.5413500000004</v>
      </c>
      <c r="O59" s="24">
        <f>12043.37-25</f>
        <v>12018.37</v>
      </c>
      <c r="P59" s="24">
        <v>13401.136500000001</v>
      </c>
      <c r="Q59" s="25">
        <f>+H59+I59+J59+M59+O59</f>
        <v>30691.980000000003</v>
      </c>
      <c r="R59" s="23">
        <f>K59+N59</f>
        <v>14495.297849999999</v>
      </c>
      <c r="S59" s="31">
        <f>G59-Q59</f>
        <v>71459.51999999999</v>
      </c>
      <c r="T59" s="26">
        <v>111</v>
      </c>
    </row>
    <row r="60" spans="1:20" s="12" customFormat="1" ht="27" customHeight="1" x14ac:dyDescent="0.45">
      <c r="A60" s="20"/>
      <c r="B60" s="26"/>
      <c r="C60" s="21"/>
      <c r="D60" s="26"/>
      <c r="E60" s="26"/>
      <c r="F60" s="26"/>
      <c r="G60" s="22"/>
      <c r="H60" s="24"/>
      <c r="I60" s="24"/>
      <c r="J60" s="24"/>
      <c r="K60" s="22"/>
      <c r="L60" s="24"/>
      <c r="M60" s="24"/>
      <c r="N60" s="24"/>
      <c r="O60" s="24"/>
      <c r="P60" s="24"/>
      <c r="Q60" s="25"/>
      <c r="R60" s="23"/>
      <c r="S60" s="24"/>
      <c r="T60" s="26"/>
    </row>
    <row r="61" spans="1:20" s="12" customFormat="1" ht="27" customHeight="1" x14ac:dyDescent="0.45">
      <c r="A61" s="62" t="s">
        <v>91</v>
      </c>
      <c r="B61" s="62"/>
      <c r="C61" s="62"/>
      <c r="D61" s="62"/>
      <c r="E61" s="26"/>
      <c r="F61" s="26"/>
      <c r="G61" s="22"/>
      <c r="H61" s="24"/>
      <c r="I61" s="24"/>
      <c r="J61" s="24"/>
      <c r="K61" s="22"/>
      <c r="L61" s="24"/>
      <c r="M61" s="23"/>
      <c r="N61" s="24"/>
      <c r="O61" s="24"/>
      <c r="P61" s="24"/>
      <c r="Q61" s="25"/>
      <c r="R61" s="23"/>
      <c r="S61" s="24"/>
      <c r="T61" s="26"/>
    </row>
    <row r="62" spans="1:20" s="12" customFormat="1" ht="27" customHeight="1" x14ac:dyDescent="0.45">
      <c r="A62" s="20"/>
      <c r="B62" s="34"/>
      <c r="C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</row>
    <row r="63" spans="1:20" s="12" customFormat="1" ht="27" customHeight="1" x14ac:dyDescent="0.45">
      <c r="A63" s="36">
        <v>24</v>
      </c>
      <c r="B63" s="34" t="s">
        <v>76</v>
      </c>
      <c r="C63" s="20" t="s">
        <v>93</v>
      </c>
      <c r="D63" s="20" t="s">
        <v>106</v>
      </c>
      <c r="E63" s="20" t="s">
        <v>26</v>
      </c>
      <c r="F63" s="20" t="s">
        <v>85</v>
      </c>
      <c r="G63" s="22">
        <v>167000</v>
      </c>
      <c r="H63" s="22">
        <v>27385.5</v>
      </c>
      <c r="I63" s="22">
        <v>25</v>
      </c>
      <c r="J63" s="22">
        <f>+G63*J12</f>
        <v>4792.8999999999996</v>
      </c>
      <c r="K63" s="22">
        <f>+G63*K12</f>
        <v>11856.999999999998</v>
      </c>
      <c r="L63" s="22">
        <v>780.6</v>
      </c>
      <c r="M63" s="22">
        <v>5076.8</v>
      </c>
      <c r="N63" s="22">
        <f>+G63*N12</f>
        <v>11840.300000000001</v>
      </c>
      <c r="O63" s="22">
        <f>4861.02-25</f>
        <v>4836.0200000000004</v>
      </c>
      <c r="P63" s="22">
        <f>J63+M63</f>
        <v>9869.7000000000007</v>
      </c>
      <c r="Q63" s="22">
        <f>+H63+I63+J63+M63+O63</f>
        <v>42116.22</v>
      </c>
      <c r="R63" s="22">
        <f>J63+M63</f>
        <v>9869.7000000000007</v>
      </c>
      <c r="S63" s="22">
        <f>G63-Q63</f>
        <v>124883.78</v>
      </c>
      <c r="T63" s="34">
        <v>111</v>
      </c>
    </row>
    <row r="64" spans="1:20" s="12" customFormat="1" ht="28.5" x14ac:dyDescent="0.45">
      <c r="A64" s="36"/>
      <c r="B64" s="54" t="s">
        <v>100</v>
      </c>
      <c r="C64" s="21"/>
      <c r="D64" s="34"/>
      <c r="E64" s="34"/>
      <c r="F64" s="34"/>
      <c r="G64" s="29">
        <f>SUM(G14:G63)</f>
        <v>2227871.48</v>
      </c>
      <c r="H64" s="29">
        <f t="shared" ref="H64:S64" si="18">SUM(H14:H63)</f>
        <v>281299.68000000005</v>
      </c>
      <c r="I64" s="29">
        <f t="shared" si="18"/>
        <v>600</v>
      </c>
      <c r="J64" s="29">
        <f t="shared" si="18"/>
        <v>63939.918550000009</v>
      </c>
      <c r="K64" s="29">
        <f t="shared" si="18"/>
        <v>158178.87035999997</v>
      </c>
      <c r="L64" s="29">
        <f t="shared" si="18"/>
        <v>15387.600000000004</v>
      </c>
      <c r="M64" s="29">
        <f t="shared" si="18"/>
        <v>67020.451600000029</v>
      </c>
      <c r="N64" s="29">
        <f t="shared" si="18"/>
        <v>152229.14344400002</v>
      </c>
      <c r="O64" s="29">
        <f t="shared" si="18"/>
        <v>292752.10000000003</v>
      </c>
      <c r="P64" s="29">
        <f t="shared" si="18"/>
        <v>221116.054168</v>
      </c>
      <c r="Q64" s="29">
        <f t="shared" si="18"/>
        <v>705612.15015000012</v>
      </c>
      <c r="R64" s="29">
        <f t="shared" si="18"/>
        <v>297317.213804</v>
      </c>
      <c r="S64" s="29">
        <f t="shared" si="18"/>
        <v>1522259.3298500001</v>
      </c>
      <c r="T64" s="34" t="s">
        <v>114</v>
      </c>
    </row>
    <row r="65" spans="1:20" s="12" customFormat="1" ht="28.5" x14ac:dyDescent="0.45">
      <c r="A65" s="38"/>
      <c r="B65" s="39"/>
      <c r="C65" s="40"/>
      <c r="D65" s="39"/>
      <c r="E65" s="39"/>
      <c r="F65" s="39"/>
      <c r="G65" s="41"/>
      <c r="H65" s="39"/>
      <c r="I65" s="39"/>
      <c r="J65" s="42"/>
      <c r="K65" s="39"/>
      <c r="L65" s="42"/>
      <c r="M65" s="42"/>
      <c r="N65" s="42"/>
      <c r="O65" s="39"/>
      <c r="P65" s="42"/>
      <c r="Q65" s="43"/>
      <c r="R65" s="44"/>
      <c r="S65" s="42"/>
      <c r="T65" s="39"/>
    </row>
    <row r="66" spans="1:20" s="12" customFormat="1" ht="30" customHeight="1" x14ac:dyDescent="0.45">
      <c r="A66" s="45"/>
      <c r="B66" s="46" t="s">
        <v>49</v>
      </c>
      <c r="C66" s="46"/>
      <c r="D66" s="47"/>
      <c r="E66" s="47"/>
      <c r="F66" s="47"/>
      <c r="G66" s="48"/>
      <c r="H66" s="48"/>
      <c r="I66" s="48"/>
      <c r="J66" s="48"/>
      <c r="K66" s="48"/>
      <c r="L66" s="48"/>
      <c r="M66" s="48"/>
      <c r="N66" s="48"/>
      <c r="O66" s="48"/>
      <c r="P66" s="48"/>
      <c r="Q66" s="48"/>
      <c r="R66" s="48"/>
      <c r="S66" s="48"/>
      <c r="T66" s="48"/>
    </row>
    <row r="67" spans="1:20" s="12" customFormat="1" ht="30" customHeight="1" x14ac:dyDescent="0.45">
      <c r="B67" s="49" t="s">
        <v>69</v>
      </c>
      <c r="C67" s="49"/>
      <c r="D67" s="49"/>
      <c r="G67" s="50"/>
      <c r="H67" s="50"/>
      <c r="I67" s="50"/>
      <c r="J67" s="51"/>
      <c r="K67" s="51"/>
      <c r="L67" s="51"/>
      <c r="M67" s="51"/>
      <c r="N67" s="51"/>
      <c r="Q67" s="48"/>
      <c r="R67" s="48"/>
      <c r="S67" s="48"/>
      <c r="T67" s="48"/>
    </row>
    <row r="68" spans="1:20" s="12" customFormat="1" ht="30" customHeight="1" x14ac:dyDescent="0.45">
      <c r="B68" s="49" t="s">
        <v>96</v>
      </c>
      <c r="C68" s="49"/>
      <c r="D68" s="49"/>
      <c r="G68" s="50"/>
      <c r="H68" s="50"/>
      <c r="I68" s="50"/>
      <c r="J68" s="51"/>
      <c r="K68" s="51"/>
      <c r="L68" s="51"/>
      <c r="M68" s="51"/>
      <c r="N68" s="51"/>
      <c r="Q68" s="48"/>
      <c r="R68" s="48"/>
      <c r="S68" s="48"/>
      <c r="T68" s="48"/>
    </row>
    <row r="69" spans="1:20" s="12" customFormat="1" ht="30" customHeight="1" x14ac:dyDescent="0.45">
      <c r="B69" s="49" t="s">
        <v>97</v>
      </c>
      <c r="C69" s="49"/>
      <c r="D69" s="49"/>
      <c r="G69" s="50"/>
      <c r="H69" s="50"/>
      <c r="I69" s="50"/>
      <c r="J69" s="51"/>
      <c r="K69" s="51"/>
      <c r="L69" s="51"/>
      <c r="M69" s="51"/>
      <c r="N69" s="51"/>
      <c r="Q69" s="48"/>
      <c r="R69" s="48"/>
      <c r="S69" s="48"/>
      <c r="T69" s="48"/>
    </row>
    <row r="70" spans="1:20" s="12" customFormat="1" ht="30" customHeight="1" x14ac:dyDescent="0.45">
      <c r="B70" s="49" t="s">
        <v>98</v>
      </c>
      <c r="C70" s="49"/>
      <c r="D70" s="49"/>
      <c r="E70" s="49"/>
      <c r="F70" s="49"/>
      <c r="G70" s="52"/>
      <c r="H70" s="52"/>
      <c r="I70" s="52"/>
      <c r="J70" s="52"/>
      <c r="K70" s="52"/>
      <c r="L70" s="52"/>
      <c r="M70" s="52"/>
      <c r="N70" s="52"/>
      <c r="O70" s="52"/>
      <c r="P70" s="52"/>
      <c r="Q70" s="52"/>
      <c r="R70" s="52"/>
      <c r="S70" s="52"/>
      <c r="T70" s="52"/>
    </row>
    <row r="71" spans="1:20" s="12" customFormat="1" ht="30" customHeight="1" x14ac:dyDescent="0.45">
      <c r="B71" s="49" t="s">
        <v>48</v>
      </c>
      <c r="C71" s="49"/>
      <c r="D71" s="49"/>
      <c r="E71" s="49"/>
      <c r="F71" s="49"/>
      <c r="G71" s="49"/>
      <c r="H71" s="49"/>
      <c r="I71" s="49"/>
      <c r="J71" s="52"/>
      <c r="K71" s="52"/>
      <c r="L71" s="49"/>
      <c r="M71" s="52"/>
      <c r="N71" s="52"/>
      <c r="O71" s="52"/>
      <c r="P71" s="52"/>
      <c r="Q71" s="52"/>
      <c r="R71" s="52"/>
      <c r="S71" s="52"/>
      <c r="T71" s="52"/>
    </row>
    <row r="72" spans="1:20" s="12" customFormat="1" ht="30" customHeight="1" x14ac:dyDescent="0.45">
      <c r="B72" s="49" t="s">
        <v>39</v>
      </c>
      <c r="C72" s="49"/>
      <c r="D72" s="49"/>
      <c r="E72" s="49"/>
      <c r="F72" s="49"/>
      <c r="G72" s="49"/>
      <c r="H72" s="52"/>
      <c r="I72" s="49"/>
      <c r="J72" s="52"/>
      <c r="K72" s="52"/>
      <c r="L72" s="49"/>
      <c r="M72" s="52"/>
      <c r="N72" s="52"/>
      <c r="O72" s="52"/>
      <c r="P72" s="52"/>
      <c r="Q72" s="52"/>
      <c r="R72" s="52"/>
      <c r="S72" s="52"/>
      <c r="T72" s="52"/>
    </row>
    <row r="73" spans="1:20" s="12" customFormat="1" ht="30" customHeight="1" x14ac:dyDescent="0.45">
      <c r="B73" s="49"/>
      <c r="C73" s="49"/>
      <c r="D73" s="49"/>
      <c r="E73" s="49"/>
      <c r="F73" s="49"/>
      <c r="G73" s="49"/>
      <c r="H73" s="52"/>
      <c r="I73" s="49"/>
      <c r="J73" s="52"/>
      <c r="K73" s="52"/>
      <c r="L73" s="49"/>
      <c r="M73" s="52"/>
      <c r="N73" s="52"/>
      <c r="O73" s="52"/>
      <c r="P73" s="52"/>
      <c r="Q73" s="52"/>
      <c r="R73" s="52"/>
      <c r="S73" s="52"/>
      <c r="T73" s="52"/>
    </row>
    <row r="74" spans="1:20" s="12" customFormat="1" ht="30" customHeight="1" x14ac:dyDescent="0.45"/>
    <row r="75" spans="1:20" s="12" customFormat="1" ht="30" customHeight="1" x14ac:dyDescent="0.55000000000000004">
      <c r="B75" s="55" t="s">
        <v>121</v>
      </c>
    </row>
    <row r="76" spans="1:20" s="12" customFormat="1" ht="30" customHeight="1" x14ac:dyDescent="0.55000000000000004">
      <c r="B76" s="55"/>
    </row>
    <row r="77" spans="1:20" s="12" customFormat="1" ht="28.5" x14ac:dyDescent="0.45">
      <c r="B77" s="53"/>
    </row>
    <row r="78" spans="1:20" s="12" customFormat="1" ht="28.5" x14ac:dyDescent="0.45">
      <c r="B78" s="53"/>
    </row>
    <row r="79" spans="1:20" s="12" customFormat="1" ht="28.5" x14ac:dyDescent="0.45">
      <c r="B79" s="53"/>
    </row>
    <row r="80" spans="1:20" s="12" customFormat="1" ht="28.5" x14ac:dyDescent="0.45">
      <c r="B80" s="53"/>
    </row>
    <row r="81" spans="2:19" s="12" customFormat="1" ht="28.5" x14ac:dyDescent="0.45"/>
    <row r="82" spans="2:19" s="12" customFormat="1" ht="28.5" x14ac:dyDescent="0.45"/>
    <row r="83" spans="2:19" s="12" customFormat="1" ht="33.75" x14ac:dyDescent="0.5">
      <c r="B83" s="57" t="s">
        <v>61</v>
      </c>
      <c r="G83" s="65" t="s">
        <v>62</v>
      </c>
      <c r="H83" s="65"/>
      <c r="I83" s="65"/>
      <c r="N83" s="61" t="s">
        <v>101</v>
      </c>
      <c r="O83" s="65" t="s">
        <v>119</v>
      </c>
      <c r="P83" s="65"/>
      <c r="Q83" s="65"/>
      <c r="R83" s="3"/>
      <c r="S83" s="3"/>
    </row>
    <row r="84" spans="2:19" s="12" customFormat="1" ht="33.75" x14ac:dyDescent="0.5">
      <c r="B84" s="3"/>
      <c r="G84" s="3"/>
      <c r="H84" s="3"/>
      <c r="I84" s="3"/>
      <c r="N84" s="3"/>
      <c r="O84" s="3"/>
      <c r="P84" s="3"/>
      <c r="Q84" s="3"/>
      <c r="R84" s="3"/>
      <c r="S84" s="3"/>
    </row>
    <row r="85" spans="2:19" s="12" customFormat="1" ht="33.75" x14ac:dyDescent="0.5">
      <c r="B85" s="57" t="s">
        <v>63</v>
      </c>
      <c r="G85" s="65" t="s">
        <v>64</v>
      </c>
      <c r="H85" s="65"/>
      <c r="I85" s="65"/>
      <c r="N85" s="65" t="s">
        <v>66</v>
      </c>
      <c r="O85" s="65"/>
      <c r="P85" s="65"/>
      <c r="Q85" s="65"/>
      <c r="R85" s="65"/>
      <c r="S85" s="3"/>
    </row>
    <row r="86" spans="2:19" s="12" customFormat="1" ht="33.75" x14ac:dyDescent="0.5">
      <c r="B86" s="56" t="s">
        <v>115</v>
      </c>
      <c r="G86" s="64" t="s">
        <v>118</v>
      </c>
      <c r="H86" s="64"/>
      <c r="I86" s="64"/>
      <c r="N86" s="58"/>
      <c r="O86" s="64" t="s">
        <v>94</v>
      </c>
      <c r="P86" s="64"/>
      <c r="Q86" s="64"/>
      <c r="R86" s="66"/>
      <c r="S86" s="66"/>
    </row>
    <row r="87" spans="2:19" s="12" customFormat="1" ht="33.75" x14ac:dyDescent="0.5">
      <c r="B87" s="57" t="s">
        <v>107</v>
      </c>
      <c r="G87" s="65" t="s">
        <v>65</v>
      </c>
      <c r="H87" s="65"/>
      <c r="I87" s="65"/>
      <c r="N87" s="65" t="s">
        <v>71</v>
      </c>
      <c r="O87" s="65"/>
      <c r="P87" s="65"/>
      <c r="Q87" s="65"/>
      <c r="R87" s="65"/>
      <c r="S87" s="3"/>
    </row>
    <row r="88" spans="2:19" s="12" customFormat="1" ht="28.5" x14ac:dyDescent="0.45"/>
  </sheetData>
  <autoFilter ref="A11:FV20" xr:uid="{00000000-0001-0000-0000-000000000000}"/>
  <mergeCells count="26">
    <mergeCell ref="A1:T1"/>
    <mergeCell ref="A8:T8"/>
    <mergeCell ref="A2:T2"/>
    <mergeCell ref="M10:N10"/>
    <mergeCell ref="A30:D30"/>
    <mergeCell ref="A26:D26"/>
    <mergeCell ref="P11:P12"/>
    <mergeCell ref="I11:I12"/>
    <mergeCell ref="G11:G12"/>
    <mergeCell ref="B13:D13"/>
    <mergeCell ref="A22:D22"/>
    <mergeCell ref="N87:R87"/>
    <mergeCell ref="N85:R85"/>
    <mergeCell ref="G86:I86"/>
    <mergeCell ref="G87:I87"/>
    <mergeCell ref="R86:S86"/>
    <mergeCell ref="G85:I85"/>
    <mergeCell ref="A40:D40"/>
    <mergeCell ref="A43:D43"/>
    <mergeCell ref="A48:D48"/>
    <mergeCell ref="O86:Q86"/>
    <mergeCell ref="G83:I83"/>
    <mergeCell ref="O83:Q83"/>
    <mergeCell ref="A52:D52"/>
    <mergeCell ref="A56:D56"/>
    <mergeCell ref="A61:D61"/>
  </mergeCells>
  <printOptions horizontalCentered="1"/>
  <pageMargins left="0.23622047244094491" right="0.23622047244094491" top="0.74803149606299213" bottom="0.74803149606299213" header="0.31496062992125984" footer="0.31496062992125984"/>
  <pageSetup paperSize="5" scale="23" fitToHeight="0" pageOrder="overThenDown" orientation="landscape" r:id="rId1"/>
  <rowBreaks count="1" manualBreakCount="1">
    <brk id="64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FIJO</vt:lpstr>
      <vt:lpstr>FIJO!Área_de_impresión</vt:lpstr>
      <vt:lpstr>FIJO!Títulos_a_imprimir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RosannaPC</dc:creator>
  <cp:lastModifiedBy>Anafranc De los Santos</cp:lastModifiedBy>
  <cp:lastPrinted>2026-02-17T16:40:36Z</cp:lastPrinted>
  <dcterms:created xsi:type="dcterms:W3CDTF">2017-03-16T20:18:07Z</dcterms:created>
  <dcterms:modified xsi:type="dcterms:W3CDTF">2026-02-17T16:40:39Z</dcterms:modified>
</cp:coreProperties>
</file>