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5/MARZO 2025/"/>
    </mc:Choice>
  </mc:AlternateContent>
  <xr:revisionPtr revIDLastSave="0" documentId="8_{4B585008-DC70-414C-A277-D5402C432F6F}" xr6:coauthVersionLast="47" xr6:coauthVersionMax="47" xr10:uidLastSave="{00000000-0000-0000-0000-000000000000}"/>
  <bookViews>
    <workbookView xWindow="-120" yWindow="-120" windowWidth="29040" windowHeight="15720" xr2:uid="{3A312BF7-4721-4906-80F1-DFD61AB11F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1" l="1"/>
  <c r="M86" i="1"/>
  <c r="L86" i="1"/>
  <c r="K86" i="1"/>
  <c r="J86" i="1"/>
  <c r="K74" i="1"/>
  <c r="K80" i="1" s="1"/>
  <c r="F74" i="1"/>
  <c r="K73" i="1"/>
  <c r="K79" i="1" s="1"/>
  <c r="J73" i="1"/>
  <c r="M68" i="1"/>
  <c r="N67" i="1"/>
  <c r="O67" i="1" s="1"/>
  <c r="O68" i="1" s="1"/>
  <c r="O66" i="1"/>
  <c r="N66" i="1"/>
  <c r="N68" i="1" s="1"/>
  <c r="M91" i="1" s="1"/>
  <c r="M66" i="1"/>
  <c r="F78" i="1" s="1"/>
  <c r="L66" i="1"/>
  <c r="M73" i="1" s="1"/>
  <c r="K66" i="1"/>
  <c r="M74" i="1" s="1"/>
  <c r="M80" i="1" s="1"/>
  <c r="J66" i="1"/>
  <c r="I66" i="1"/>
  <c r="H66" i="1"/>
  <c r="M88" i="1" s="1"/>
  <c r="G66" i="1"/>
  <c r="M89" i="1" s="1"/>
  <c r="A66" i="1"/>
  <c r="M87" i="1" s="1"/>
  <c r="P65" i="1"/>
  <c r="O65" i="1"/>
  <c r="P64" i="1"/>
  <c r="O64" i="1"/>
  <c r="T63" i="1"/>
  <c r="U63" i="1" s="1"/>
  <c r="P63" i="1"/>
  <c r="R63" i="1" s="1"/>
  <c r="O63" i="1"/>
  <c r="O62" i="1"/>
  <c r="O61" i="1"/>
  <c r="P60" i="1"/>
  <c r="O60" i="1"/>
  <c r="O49" i="1"/>
  <c r="N49" i="1"/>
  <c r="N50" i="1" s="1"/>
  <c r="M49" i="1"/>
  <c r="M51" i="1" s="1"/>
  <c r="L49" i="1"/>
  <c r="K49" i="1"/>
  <c r="J49" i="1"/>
  <c r="I49" i="1"/>
  <c r="H49" i="1"/>
  <c r="K88" i="1" s="1"/>
  <c r="G49" i="1"/>
  <c r="K89" i="1" s="1"/>
  <c r="A49" i="1"/>
  <c r="K87" i="1" s="1"/>
  <c r="O47" i="1"/>
  <c r="O46" i="1"/>
  <c r="M40" i="1"/>
  <c r="N38" i="1"/>
  <c r="N39" i="1" s="1"/>
  <c r="M38" i="1"/>
  <c r="L90" i="1" s="1"/>
  <c r="L38" i="1"/>
  <c r="L73" i="1" s="1"/>
  <c r="J38" i="1"/>
  <c r="I38" i="1"/>
  <c r="H38" i="1"/>
  <c r="L88" i="1" s="1"/>
  <c r="G38" i="1"/>
  <c r="L89" i="1" s="1"/>
  <c r="A38" i="1"/>
  <c r="L87" i="1" s="1"/>
  <c r="O37" i="1"/>
  <c r="L37" i="1"/>
  <c r="K37" i="1"/>
  <c r="O36" i="1"/>
  <c r="L36" i="1"/>
  <c r="K36" i="1"/>
  <c r="O35" i="1"/>
  <c r="L35" i="1"/>
  <c r="K35" i="1"/>
  <c r="O34" i="1"/>
  <c r="L34" i="1"/>
  <c r="K34" i="1"/>
  <c r="O33" i="1"/>
  <c r="L33" i="1"/>
  <c r="K33" i="1"/>
  <c r="O32" i="1"/>
  <c r="L32" i="1"/>
  <c r="K32" i="1"/>
  <c r="K38" i="1" s="1"/>
  <c r="L74" i="1" s="1"/>
  <c r="L80" i="1" s="1"/>
  <c r="O31" i="1"/>
  <c r="O38" i="1" s="1"/>
  <c r="M25" i="1"/>
  <c r="N24" i="1"/>
  <c r="O24" i="1" s="1"/>
  <c r="N23" i="1"/>
  <c r="N25" i="1" s="1"/>
  <c r="J91" i="1" s="1"/>
  <c r="M23" i="1"/>
  <c r="J90" i="1" s="1"/>
  <c r="L23" i="1"/>
  <c r="K23" i="1"/>
  <c r="J74" i="1" s="1"/>
  <c r="J23" i="1"/>
  <c r="I23" i="1"/>
  <c r="H23" i="1"/>
  <c r="J88" i="1" s="1"/>
  <c r="G23" i="1"/>
  <c r="J89" i="1" s="1"/>
  <c r="A23" i="1"/>
  <c r="J87" i="1" s="1"/>
  <c r="O22" i="1"/>
  <c r="O21" i="1"/>
  <c r="O20" i="1"/>
  <c r="O19" i="1"/>
  <c r="O18" i="1"/>
  <c r="O23" i="1" s="1"/>
  <c r="N74" i="1" l="1"/>
  <c r="N80" i="1" s="1"/>
  <c r="J80" i="1"/>
  <c r="L79" i="1"/>
  <c r="M92" i="1"/>
  <c r="M75" i="1"/>
  <c r="M81" i="1" s="1"/>
  <c r="O25" i="1"/>
  <c r="J75" i="1" s="1"/>
  <c r="O39" i="1"/>
  <c r="O40" i="1" s="1"/>
  <c r="N40" i="1"/>
  <c r="L91" i="1" s="1"/>
  <c r="N51" i="1"/>
  <c r="K91" i="1" s="1"/>
  <c r="O50" i="1"/>
  <c r="O51" i="1" s="1"/>
  <c r="M76" i="1"/>
  <c r="M82" i="1" s="1"/>
  <c r="M79" i="1"/>
  <c r="N73" i="1"/>
  <c r="N79" i="1" s="1"/>
  <c r="N90" i="1"/>
  <c r="F75" i="1"/>
  <c r="N87" i="1" s="1"/>
  <c r="F76" i="1"/>
  <c r="N88" i="1" s="1"/>
  <c r="F77" i="1"/>
  <c r="N89" i="1" s="1"/>
  <c r="M90" i="1"/>
  <c r="F79" i="1"/>
  <c r="N91" i="1" s="1"/>
  <c r="F80" i="1"/>
  <c r="J79" i="1"/>
  <c r="K90" i="1"/>
  <c r="L92" i="1" l="1"/>
  <c r="L75" i="1"/>
  <c r="K75" i="1"/>
  <c r="K92" i="1"/>
  <c r="F81" i="1"/>
  <c r="N75" i="1"/>
  <c r="N81" i="1" s="1"/>
  <c r="J81" i="1"/>
  <c r="J76" i="1"/>
  <c r="N92" i="1" l="1"/>
  <c r="F73" i="1"/>
  <c r="K81" i="1"/>
  <c r="K76" i="1"/>
  <c r="K82" i="1" s="1"/>
  <c r="N76" i="1"/>
  <c r="N82" i="1" s="1"/>
  <c r="J82" i="1"/>
  <c r="J92" i="1"/>
  <c r="L81" i="1"/>
  <c r="L76" i="1"/>
  <c r="L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tc={A1203A26-AE3B-4A7B-B2BA-392719982BD1}</author>
    <author>tc={68DA563D-AE2A-4284-BF7D-B0F79F4B7144}</author>
  </authors>
  <commentList>
    <comment ref="C18" authorId="0" shapeId="0" xr:uid="{A1203A26-AE3B-4A7B-B2BA-392719982B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0" authorId="1" shapeId="0" xr:uid="{68DA563D-AE2A-4284-BF7D-B0F79F4B71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<sst xmlns="http://schemas.openxmlformats.org/spreadsheetml/2006/main" count="281" uniqueCount="131">
  <si>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</si>
  <si>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</si>
  <si>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</si>
  <si>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</si>
  <si>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</si>
  <si>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MARZO 2025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</si>
  <si>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</si>
  <si>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</si>
  <si>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</si>
  <si>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</si>
  <si>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</si>
  <si>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</si>
  <si>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</si>
  <si>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</si>
  <si>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</si>
  <si>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</si>
  <si>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</si>
  <si>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</si>
  <si>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</si>
  <si>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</si>
  <si>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</si>
  <si>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</si>
  <si>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</si>
  <si>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</si>
  <si>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</si>
  <si>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Francisco Ceballos</t>
  </si>
  <si>
    <r>
      <t>Visita de seguimiento a la parcela de</t>
    </r>
    <r>
      <rPr>
        <b/>
        <sz val="11"/>
        <rFont val="Cambria"/>
        <family val="1"/>
      </rPr>
      <t xml:space="preserve"> café</t>
    </r>
    <r>
      <rPr>
        <sz val="11"/>
        <rFont val="Cambria"/>
        <family val="1"/>
      </rPr>
      <t xml:space="preserve"> variedades CARIBE Y CATIDIAF. Monitoreamos las actividades de control de malezas manual y el desarrollo vegetativo de las variedades</t>
    </r>
  </si>
  <si>
    <t>Victor Payano y Maldané Cuello</t>
  </si>
  <si>
    <t>05-07/03/2025</t>
  </si>
  <si>
    <t>Barahona, comunidad de la lanza, Polo.</t>
  </si>
  <si>
    <t>Miguel A. Rodriguez</t>
  </si>
  <si>
    <r>
      <t xml:space="preserve">Visita de seguimiento en la parcela de </t>
    </r>
    <r>
      <rPr>
        <b/>
        <sz val="11"/>
        <rFont val="Cambria"/>
        <family val="1"/>
      </rPr>
      <t>plátano.</t>
    </r>
    <r>
      <rPr>
        <sz val="11"/>
        <rFont val="Cambria"/>
        <family val="1"/>
      </rPr>
      <t xml:space="preserve"> Se observo que el proceso de desarrollo ha sido normal encontrándose esta en su etapa fonológica de producción.</t>
    </r>
  </si>
  <si>
    <t xml:space="preserve">Tamayo </t>
  </si>
  <si>
    <t>Salomon Sosa</t>
  </si>
  <si>
    <r>
      <t xml:space="preserve">Visita de seguimiento a las parcelas de </t>
    </r>
    <r>
      <rPr>
        <b/>
        <sz val="11"/>
        <color theme="1"/>
        <rFont val="Cambria"/>
        <family val="1"/>
      </rPr>
      <t xml:space="preserve">aguacate. </t>
    </r>
    <r>
      <rPr>
        <sz val="11"/>
        <color theme="1"/>
        <rFont val="Cambria"/>
        <family val="1"/>
      </rPr>
      <t>Se realizo un monitoreo y continuación de la instalación del sistema de riego presurizado, durante la ruta.</t>
    </r>
  </si>
  <si>
    <t>11-14/03/2025</t>
  </si>
  <si>
    <t>Hondo Valle, Provincia Elías Piña</t>
  </si>
  <si>
    <r>
      <t xml:space="preserve">Visita de seguimiento a la parcela de </t>
    </r>
    <r>
      <rPr>
        <b/>
        <sz val="12"/>
        <color theme="1"/>
        <rFont val="Cambria"/>
        <family val="1"/>
      </rPr>
      <t>café</t>
    </r>
    <r>
      <rPr>
        <sz val="12"/>
        <color theme="1"/>
        <rFont val="Cambria"/>
        <family val="1"/>
      </rPr>
      <t xml:space="preserve"> variedades CARIBE Y CATIDIAF. Se realizo una supervisión del local y salón en donde se está programando realizar la actividad de socialización.</t>
    </r>
  </si>
  <si>
    <t>26-28/03/2025</t>
  </si>
  <si>
    <r>
      <t xml:space="preserve">Visita de seguimiento en la parcela de </t>
    </r>
    <r>
      <rPr>
        <b/>
        <sz val="12"/>
        <rFont val="Cambria"/>
        <family val="1"/>
      </rPr>
      <t>plátano.</t>
    </r>
    <r>
      <rPr>
        <sz val="12"/>
        <rFont val="Cambria"/>
        <family val="1"/>
      </rPr>
      <t xml:space="preserve"> observándose que sigue en su etapa fonológica de producción con una proyección positiva. 
</t>
    </r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</si>
  <si>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</si>
  <si>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</si>
  <si>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</si>
  <si>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</si>
  <si>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</si>
  <si>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r>
      <t>Visita de seguimiento en la parcela de</t>
    </r>
    <r>
      <rPr>
        <b/>
        <sz val="12"/>
        <rFont val="Cambria"/>
        <family val="1"/>
      </rPr>
      <t xml:space="preserve"> pasto.</t>
    </r>
    <r>
      <rPr>
        <sz val="12"/>
        <rFont val="Cambria"/>
        <family val="1"/>
      </rPr>
      <t xml:space="preserve"> El cultivo de guácima se observa en muy buenas condiciones, se coordinó una nueva limpieza para luego aplicar abono, tanto urea como triple 15.</t>
    </r>
  </si>
  <si>
    <t xml:space="preserve"> César Montero y Bienvenido Carvajal</t>
  </si>
  <si>
    <t xml:space="preserve">
06-07/03/2025</t>
  </si>
  <si>
    <t xml:space="preserve"> Santiago Rodríguez</t>
  </si>
  <si>
    <r>
      <t xml:space="preserve">Se realizó una visita de seguimiento en el cultivo de </t>
    </r>
    <r>
      <rPr>
        <b/>
        <sz val="12"/>
        <rFont val="Cambria"/>
        <family val="1"/>
      </rPr>
      <t>yuca</t>
    </r>
    <r>
      <rPr>
        <sz val="12"/>
        <rFont val="Cambria"/>
        <family val="1"/>
      </rPr>
      <t xml:space="preserve"> para observar el estado de la parcela. Se coordinó un riego para el día de la cosecha y una actividad de transferencia de tecnologías en la elaboración de casabe.</t>
    </r>
  </si>
  <si>
    <t>13-14/3/2025</t>
  </si>
  <si>
    <t>Azua</t>
  </si>
  <si>
    <r>
      <t xml:space="preserve">Visita de seguimiento en la parcela de </t>
    </r>
    <r>
      <rPr>
        <b/>
        <sz val="12"/>
        <rFont val="Cambria"/>
        <family val="1"/>
      </rPr>
      <t>pasto</t>
    </r>
    <r>
      <rPr>
        <sz val="12"/>
        <rFont val="Cambria"/>
        <family val="1"/>
      </rPr>
      <t>.  El investigador Atiles Peguero, instruyo al productor de la parcela de pasto sobre como realizar el corte de la guácima adquiriendo los materiales y equipos necesarios por parte del productor para llevar agua al módulo, ya que los animales están sufriendo y podría morir una gran parte.</t>
    </r>
  </si>
  <si>
    <t xml:space="preserve">
14/03/2025</t>
  </si>
  <si>
    <t xml:space="preserve"> Las Matas de Farfán</t>
  </si>
  <si>
    <r>
      <t>Visita de seguimiento en la parcela de</t>
    </r>
    <r>
      <rPr>
        <b/>
        <sz val="12"/>
        <rFont val="Cambria"/>
        <family val="1"/>
      </rPr>
      <t xml:space="preserve"> pasto.</t>
    </r>
    <r>
      <rPr>
        <sz val="12"/>
        <rFont val="Cambria"/>
        <family val="1"/>
      </rPr>
      <t xml:space="preserve"> Se realizó la aplicación de cal viva para desinfectar los corrales. Se observa un buen parto, distinto a años anteriores.</t>
    </r>
  </si>
  <si>
    <t>19-20/3/2025</t>
  </si>
  <si>
    <t>Batey 4, Neiba</t>
  </si>
  <si>
    <r>
      <t xml:space="preserve">Visita de seguimiento en el cultivo de </t>
    </r>
    <r>
      <rPr>
        <b/>
        <sz val="12"/>
        <rFont val="Cambria"/>
        <family val="1"/>
      </rPr>
      <t>Mango</t>
    </r>
    <r>
      <rPr>
        <sz val="12"/>
        <rFont val="Cambria"/>
        <family val="1"/>
      </rPr>
      <t>. Se observó un buen resultado de la aplicación de los maduradores de brotes, se aprecia alrededor de un 70 a 80% de formación de la fruta de mango.</t>
    </r>
  </si>
  <si>
    <t>Neiba, el Tanque.</t>
  </si>
  <si>
    <t xml:space="preserve"> Martha Torres</t>
  </si>
  <si>
    <r>
      <t xml:space="preserve">Transferencia de tecnologías en el cultivo de </t>
    </r>
    <r>
      <rPr>
        <b/>
        <sz val="12"/>
        <rFont val="Cambria"/>
        <family val="1"/>
      </rPr>
      <t>yuca</t>
    </r>
    <r>
      <rPr>
        <sz val="12"/>
        <rFont val="Cambria"/>
        <family val="1"/>
      </rPr>
      <t xml:space="preserve"> con la charla de “Elaboración de casabe” impartido por Juan Valdez y Martha Torres de Santiago Rodríguez de la cooperativa ANACAONA.</t>
    </r>
  </si>
  <si>
    <t>25-28/3/2025</t>
  </si>
  <si>
    <r>
      <t xml:space="preserve">Transferencia de tecnologías en el cultivo de </t>
    </r>
    <r>
      <rPr>
        <b/>
        <sz val="12"/>
        <rFont val="Cambria"/>
        <family val="1"/>
      </rPr>
      <t>yuca</t>
    </r>
    <r>
      <rPr>
        <sz val="12"/>
        <rFont val="Cambria"/>
        <family val="1"/>
      </rPr>
      <t xml:space="preserve"> en Azua donde se evaluó la productividad de las variedades de yuca introducidas, tanto de yuca de procesamiento, como las variedades de consumo fresco con el investigador Juan Valdez. </t>
    </r>
  </si>
  <si>
    <t>TOTAL</t>
  </si>
  <si>
    <t>.</t>
  </si>
  <si>
    <t>DEPARTAMENTO DE ACCESO A LAS CIENCIAS MODERNAS</t>
  </si>
  <si>
    <t>Johuan Santos, Mauricio Jose y Cristina Gomez</t>
  </si>
  <si>
    <r>
      <t>Transferencia de tecnologías en el cultivo de vegetales orientales (Ají Picante). Esta visita se hizo con dos propósitos: (1) Charla sobre “Control biológico utilizando ácaros depredadores” impartida por la Dra. Cristina Gómez y (2) finalizar las actividades técnicas en la parcela de</t>
    </r>
    <r>
      <rPr>
        <b/>
        <sz val="12"/>
        <rFont val="Cambria"/>
        <family val="1"/>
      </rPr>
      <t xml:space="preserve"> ají picante.</t>
    </r>
  </si>
  <si>
    <t>Jose Cepeda</t>
  </si>
  <si>
    <t>04-05/03/2025</t>
  </si>
  <si>
    <t>La Vega</t>
  </si>
  <si>
    <r>
      <t xml:space="preserve">Viaje de seguimiento a la estación Arroyo Loro con fines de reunirnos con los Ing. Ana Mateo, Juan Ramon Cedano y Cesarina Medina quienes trabajaron como facilitadores de las parcelas demostrativas de </t>
    </r>
    <r>
      <rPr>
        <b/>
        <sz val="12"/>
        <rFont val="Cambria"/>
        <family val="1"/>
      </rPr>
      <t xml:space="preserve">habichuela. </t>
    </r>
    <r>
      <rPr>
        <sz val="12"/>
        <rFont val="Cambria"/>
        <family val="1"/>
      </rPr>
      <t xml:space="preserve">
Dicha reunión se realizó con la finalidad de revisar los resultados y comentar las experiencias generadas por las parcelas. </t>
    </r>
  </si>
  <si>
    <t>San Juan</t>
  </si>
  <si>
    <t xml:space="preserve">DEPARTAMENTO DE MEDIO AMBIENTE Y RECURSOS NATURALES         </t>
  </si>
  <si>
    <t>HORAS TRANSFE-RENCIA</t>
  </si>
  <si>
    <t>COSTO TOTAL</t>
  </si>
  <si>
    <t>Elpio Avilès/Angel Adames.</t>
  </si>
  <si>
    <r>
      <t>Visita  y realizacion de 4ta gira en parcela de validacion para transferencia en el cultivo de</t>
    </r>
    <r>
      <rPr>
        <b/>
        <sz val="12"/>
        <rFont val="Cambria"/>
        <family val="1"/>
      </rPr>
      <t xml:space="preserve"> Arroz </t>
    </r>
    <r>
      <rPr>
        <sz val="12"/>
        <rFont val="Cambria"/>
        <family val="1"/>
      </rPr>
      <t>.</t>
    </r>
  </si>
  <si>
    <t>José A. Nova</t>
  </si>
  <si>
    <t>Nisibon, Higuey .</t>
  </si>
  <si>
    <t>Juan Valdez</t>
  </si>
  <si>
    <r>
      <t xml:space="preserve">Viaje de seguimiento para realizar la 2da visita técnica a la parcela demostrativa de tecnologías en 5 variedades de </t>
    </r>
    <r>
      <rPr>
        <b/>
        <sz val="12"/>
        <rFont val="Cambria"/>
        <family val="1"/>
      </rPr>
      <t>batata</t>
    </r>
    <r>
      <rPr>
        <sz val="12"/>
        <rFont val="Cambria"/>
        <family val="1"/>
      </rPr>
      <t xml:space="preserve"> en San Rafael del Yuma, provincia La Altagracia. Se Verifico el porcentaje de marras (% de ábanas que no brotaron).</t>
    </r>
  </si>
  <si>
    <t>José A. Nova y Salomon Reyes</t>
  </si>
  <si>
    <t>San Rafael del Yuma, provincia La Altagracia</t>
  </si>
  <si>
    <r>
      <t xml:space="preserve">Visita tecnica a la parcela demostrativa de tecnologías en el cultivo de </t>
    </r>
    <r>
      <rPr>
        <b/>
        <sz val="12"/>
        <rFont val="Cambria"/>
        <family val="1"/>
      </rPr>
      <t xml:space="preserve">arroz </t>
    </r>
    <r>
      <rPr>
        <sz val="12"/>
        <rFont val="Cambria"/>
        <family val="1"/>
      </rPr>
      <t>variedad Robusta. El cultivo se encuentra en la etapa de preñez y se observa en muy buenas condiciones fitosanitarias, aunque, como era de esperarse, al coincidir la fase vegetativa con la temporada fría.</t>
    </r>
  </si>
  <si>
    <r>
      <t>Cosechas parcelas demostrativas de</t>
    </r>
    <r>
      <rPr>
        <b/>
        <sz val="12"/>
        <rFont val="Cambria"/>
        <family val="1"/>
      </rPr>
      <t xml:space="preserve"> Arroz( </t>
    </r>
    <r>
      <rPr>
        <sz val="12"/>
        <rFont val="Cambria"/>
        <family val="1"/>
      </rPr>
      <t>5ta gira tècnica)</t>
    </r>
  </si>
  <si>
    <t xml:space="preserve">Nisibon, Higuey </t>
  </si>
  <si>
    <t>Alejandro Maria Nuñez</t>
  </si>
  <si>
    <r>
      <t xml:space="preserve">Visita para coordinar el montaje y desarrollo de un “Curso sobre tecnologías de </t>
    </r>
    <r>
      <rPr>
        <b/>
        <sz val="12"/>
        <rFont val="Cambria"/>
        <family val="1"/>
      </rPr>
      <t>cacao</t>
    </r>
    <r>
      <rPr>
        <sz val="12"/>
        <rFont val="Cambria"/>
        <family val="1"/>
      </rPr>
      <t xml:space="preserve"> para Alejandro Maria Nuñezla innovación y competitividad</t>
    </r>
  </si>
  <si>
    <t>Paraiso, Barahona</t>
  </si>
  <si>
    <r>
      <t>Visita Técnica de supervisión y coordinación de las labores culturales en 
la parcela demostrativa de tecnologías para el cultivo de</t>
    </r>
    <r>
      <rPr>
        <b/>
        <sz val="12"/>
        <rFont val="Cambria"/>
        <family val="1"/>
      </rPr>
      <t xml:space="preserve"> batata </t>
    </r>
  </si>
  <si>
    <t>San Rafel del Yuma(Batey Baiguà), Higuey</t>
  </si>
  <si>
    <t xml:space="preserve">PROGRAMACION INDICADORES </t>
  </si>
  <si>
    <t>EJECUCION EN VALORES $RD.  NETO</t>
  </si>
  <si>
    <t>PROGRAMACION GASTOS MARZO 2025</t>
  </si>
  <si>
    <t xml:space="preserve">RESUMEN PROGRAMACIÓN </t>
  </si>
  <si>
    <t>PRESUPUESTO MARZO 2025</t>
  </si>
  <si>
    <t>EJECUCION MARZO 2025</t>
  </si>
  <si>
    <t>DPTO</t>
  </si>
  <si>
    <t>Agric. Competitiva</t>
  </si>
  <si>
    <t>Ciencias Modernas</t>
  </si>
  <si>
    <t>Pobreza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</si>
  <si>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</si>
  <si>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</si>
  <si>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</si>
  <si>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</si>
  <si>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</si>
  <si>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</si>
  <si>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</si>
  <si>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</si>
  <si>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EJECUCION PORCENTUAL </t>
  </si>
  <si>
    <t>PROGRAMACION   INDICADORES MARZO 2025</t>
  </si>
  <si>
    <t xml:space="preserve">COSTO LOGÍSTICO         (RD$) </t>
  </si>
  <si>
    <t xml:space="preserve">COSTO FACILITADORES (RD$)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</si>
  <si>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</si>
  <si>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</si>
  <si>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</si>
  <si>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</si>
  <si>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</si>
  <si>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</si>
  <si>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</si>
  <si>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 xml:space="preserve"> COSTOFACIL.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</si>
  <si>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</si>
  <si>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</si>
  <si>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</si>
  <si>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</si>
  <si>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</si>
  <si>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</si>
  <si>
    <t>FACILITADORES</t>
  </si>
  <si>
    <t xml:space="preserve">Nota: En los indices de ejecucion no estan agregados los costos logisticos debido a que no se han realizado los libramientos para los pagos. Este libramiento ya esta en proceso.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</si>
</sst>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&quot;$&quot;#,##0.00"/>
    <numFmt numFmtId="167" formatCode="_-* #,##0_-;\-* #,##0_-;_-* &quot;-&quot;??_-;_-@_-"/>
    <numFmt numFmtId="168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mbria"/>
      <family val="1"/>
    </font>
    <font>
      <sz val="12"/>
      <color theme="1"/>
      <name val="Cambria"/>
      <family val="1"/>
    </font>
    <font>
      <b/>
      <u/>
      <sz val="12"/>
      <name val="Cambria"/>
      <family val="1"/>
    </font>
    <font>
      <sz val="12"/>
      <color rgb="FFFF0000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2"/>
      <name val="Times New Roman"/>
      <family val="1"/>
    </font>
    <font>
      <b/>
      <u/>
      <sz val="12"/>
      <color rgb="FFFF0000"/>
      <name val="Cambria"/>
      <family val="1"/>
    </font>
    <font>
      <b/>
      <sz val="12"/>
      <color theme="3"/>
      <name val="Cambria"/>
      <family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/>
    </xf>
    <xf numFmtId="44" fontId="3" fillId="0" borderId="0" xfId="2" applyFont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6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top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justify" vertical="top"/>
    </xf>
    <xf numFmtId="4" fontId="6" fillId="0" borderId="17" xfId="0" quotePrefix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justify" vertical="top" wrapText="1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/>
    </xf>
    <xf numFmtId="165" fontId="3" fillId="0" borderId="0" xfId="0" applyNumberFormat="1" applyFont="1"/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3" fontId="4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43" fontId="6" fillId="0" borderId="4" xfId="1" applyFont="1" applyBorder="1" applyAlignment="1">
      <alignment horizontal="right" wrapText="1"/>
    </xf>
    <xf numFmtId="0" fontId="1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4" fontId="12" fillId="4" borderId="0" xfId="0" applyNumberFormat="1" applyFont="1" applyFill="1" applyAlignment="1">
      <alignment horizontal="right" vertical="center" wrapText="1"/>
    </xf>
    <xf numFmtId="43" fontId="12" fillId="4" borderId="0" xfId="0" applyNumberFormat="1" applyFont="1" applyFill="1" applyAlignment="1">
      <alignment horizontal="right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4" applyNumberFormat="1" applyFont="1" applyFill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top" wrapText="1"/>
    </xf>
    <xf numFmtId="14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13" fillId="4" borderId="20" xfId="0" applyNumberFormat="1" applyFont="1" applyFill="1" applyBorder="1" applyAlignment="1">
      <alignment horizontal="center" vertical="center"/>
    </xf>
    <xf numFmtId="166" fontId="13" fillId="4" borderId="17" xfId="0" applyNumberFormat="1" applyFont="1" applyFill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66" fontId="13" fillId="4" borderId="20" xfId="4" applyNumberFormat="1" applyFont="1" applyFill="1" applyBorder="1" applyAlignment="1">
      <alignment horizontal="center" vertical="center" wrapText="1"/>
    </xf>
    <xf numFmtId="166" fontId="13" fillId="4" borderId="17" xfId="4" applyNumberFormat="1" applyFont="1" applyFill="1" applyBorder="1" applyAlignment="1">
      <alignment horizontal="center" vertical="center" wrapText="1"/>
    </xf>
    <xf numFmtId="43" fontId="3" fillId="0" borderId="0" xfId="1" applyFont="1" applyFill="1"/>
    <xf numFmtId="0" fontId="2" fillId="3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top"/>
    </xf>
    <xf numFmtId="166" fontId="6" fillId="4" borderId="17" xfId="4" applyNumberFormat="1" applyFont="1" applyFill="1" applyBorder="1" applyAlignment="1">
      <alignment horizontal="center" vertical="center" wrapText="1"/>
    </xf>
    <xf numFmtId="166" fontId="6" fillId="4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43" fontId="2" fillId="4" borderId="17" xfId="1" applyFont="1" applyFill="1" applyBorder="1" applyAlignment="1">
      <alignment horizontal="center" vertical="center" wrapText="1"/>
    </xf>
    <xf numFmtId="43" fontId="2" fillId="4" borderId="22" xfId="1" applyFont="1" applyFill="1" applyBorder="1" applyAlignment="1">
      <alignment horizontal="center" vertical="center" wrapText="1"/>
    </xf>
    <xf numFmtId="9" fontId="2" fillId="4" borderId="23" xfId="0" applyNumberFormat="1" applyFont="1" applyFill="1" applyBorder="1" applyAlignment="1">
      <alignment horizontal="center" vertical="center" wrapText="1"/>
    </xf>
    <xf numFmtId="9" fontId="2" fillId="4" borderId="24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3" fontId="2" fillId="4" borderId="17" xfId="1" applyFont="1" applyFill="1" applyBorder="1" applyAlignment="1">
      <alignment horizontal="right" vertical="center" wrapText="1"/>
    </xf>
    <xf numFmtId="43" fontId="2" fillId="4" borderId="22" xfId="1" applyFont="1" applyFill="1" applyBorder="1" applyAlignment="1">
      <alignment horizontal="right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wrapText="1"/>
    </xf>
    <xf numFmtId="4" fontId="2" fillId="4" borderId="14" xfId="0" applyNumberFormat="1" applyFont="1" applyFill="1" applyBorder="1" applyAlignment="1">
      <alignment horizontal="right" vertical="center" wrapText="1"/>
    </xf>
    <xf numFmtId="43" fontId="2" fillId="4" borderId="14" xfId="1" applyFont="1" applyFill="1" applyBorder="1" applyAlignment="1">
      <alignment horizontal="right" vertical="center" wrapText="1"/>
    </xf>
    <xf numFmtId="43" fontId="2" fillId="0" borderId="14" xfId="1" applyFont="1" applyBorder="1" applyAlignment="1">
      <alignment horizontal="right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3" fontId="6" fillId="0" borderId="17" xfId="0" applyNumberFormat="1" applyFont="1" applyBorder="1" applyAlignment="1">
      <alignment vertical="top" wrapText="1"/>
    </xf>
    <xf numFmtId="3" fontId="6" fillId="0" borderId="17" xfId="0" applyNumberFormat="1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6" fillId="3" borderId="21" xfId="0" applyFont="1" applyFill="1" applyBorder="1" applyAlignment="1">
      <alignment horizontal="center" vertical="center"/>
    </xf>
    <xf numFmtId="16" fontId="6" fillId="0" borderId="17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16" fontId="6" fillId="0" borderId="32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7" fontId="2" fillId="0" borderId="7" xfId="1" applyNumberFormat="1" applyFont="1" applyFill="1" applyBorder="1" applyAlignment="1">
      <alignment horizontal="center" vertical="center"/>
    </xf>
    <xf numFmtId="43" fontId="2" fillId="4" borderId="36" xfId="1" applyFont="1" applyFill="1" applyBorder="1" applyAlignment="1">
      <alignment horizontal="center" vertical="center"/>
    </xf>
    <xf numFmtId="43" fontId="2" fillId="4" borderId="37" xfId="1" applyFont="1" applyFill="1" applyBorder="1" applyAlignment="1">
      <alignment horizontal="center" vertical="center"/>
    </xf>
    <xf numFmtId="43" fontId="2" fillId="0" borderId="37" xfId="1" applyFont="1" applyFill="1" applyBorder="1" applyAlignment="1">
      <alignment horizontal="center" vertical="center"/>
    </xf>
    <xf numFmtId="43" fontId="2" fillId="4" borderId="38" xfId="1" applyFont="1" applyFill="1" applyBorder="1" applyAlignment="1">
      <alignment horizontal="center" vertical="center" wrapText="1"/>
    </xf>
    <xf numFmtId="43" fontId="3" fillId="0" borderId="0" xfId="1" applyFont="1"/>
    <xf numFmtId="9" fontId="2" fillId="4" borderId="1" xfId="0" applyNumberFormat="1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9" fontId="2" fillId="4" borderId="3" xfId="0" applyNumberFormat="1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4" fontId="12" fillId="4" borderId="37" xfId="0" applyNumberFormat="1" applyFont="1" applyFill="1" applyBorder="1" applyAlignment="1">
      <alignment horizontal="right" vertical="center" wrapText="1"/>
    </xf>
    <xf numFmtId="43" fontId="12" fillId="4" borderId="37" xfId="1" applyFont="1" applyFill="1" applyBorder="1" applyAlignment="1">
      <alignment horizontal="right" vertical="center" wrapText="1"/>
    </xf>
    <xf numFmtId="43" fontId="2" fillId="4" borderId="37" xfId="1" applyFont="1" applyFill="1" applyBorder="1" applyAlignment="1">
      <alignment horizontal="right" vertical="center" wrapText="1"/>
    </xf>
    <xf numFmtId="43" fontId="2" fillId="0" borderId="37" xfId="1" applyFont="1" applyFill="1" applyBorder="1" applyAlignment="1">
      <alignment horizontal="right" vertical="center" wrapText="1"/>
    </xf>
    <xf numFmtId="43" fontId="2" fillId="4" borderId="38" xfId="1" applyFont="1" applyFill="1" applyBorder="1" applyAlignment="1">
      <alignment horizontal="right"/>
    </xf>
    <xf numFmtId="0" fontId="2" fillId="4" borderId="9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wrapText="1"/>
    </xf>
    <xf numFmtId="4" fontId="12" fillId="4" borderId="14" xfId="0" applyNumberFormat="1" applyFont="1" applyFill="1" applyBorder="1" applyAlignment="1">
      <alignment horizontal="right" vertical="center" wrapText="1"/>
    </xf>
    <xf numFmtId="43" fontId="12" fillId="4" borderId="14" xfId="1" applyFont="1" applyFill="1" applyBorder="1" applyAlignment="1">
      <alignment horizontal="right" vertical="center" wrapText="1"/>
    </xf>
    <xf numFmtId="43" fontId="2" fillId="0" borderId="14" xfId="1" applyFont="1" applyFill="1" applyBorder="1" applyAlignment="1">
      <alignment horizontal="right" wrapText="1"/>
    </xf>
    <xf numFmtId="0" fontId="2" fillId="4" borderId="0" xfId="0" applyFont="1" applyFill="1" applyAlignment="1">
      <alignment horizontal="center" vertical="center" wrapText="1"/>
    </xf>
    <xf numFmtId="43" fontId="12" fillId="4" borderId="0" xfId="1" applyFont="1" applyFill="1" applyBorder="1" applyAlignment="1">
      <alignment horizontal="right" vertical="center" wrapText="1"/>
    </xf>
    <xf numFmtId="43" fontId="2" fillId="4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right" wrapText="1"/>
    </xf>
    <xf numFmtId="4" fontId="2" fillId="4" borderId="0" xfId="0" applyNumberFormat="1" applyFont="1" applyFill="1" applyAlignment="1">
      <alignment horizontal="right" vertical="center" wrapText="1"/>
    </xf>
    <xf numFmtId="0" fontId="6" fillId="4" borderId="0" xfId="0" applyFont="1" applyFill="1" applyAlignment="1">
      <alignment wrapText="1"/>
    </xf>
    <xf numFmtId="43" fontId="2" fillId="4" borderId="0" xfId="0" applyNumberFormat="1" applyFont="1" applyFill="1" applyAlignment="1">
      <alignment horizontal="right"/>
    </xf>
    <xf numFmtId="0" fontId="2" fillId="3" borderId="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4" fontId="6" fillId="4" borderId="4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top" wrapText="1"/>
    </xf>
    <xf numFmtId="14" fontId="6" fillId="4" borderId="17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14" fontId="6" fillId="4" borderId="32" xfId="0" applyNumberFormat="1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4" fontId="6" fillId="4" borderId="32" xfId="0" applyNumberFormat="1" applyFont="1" applyFill="1" applyBorder="1" applyAlignment="1">
      <alignment horizontal="center" vertical="center"/>
    </xf>
    <xf numFmtId="4" fontId="6" fillId="4" borderId="41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wrapText="1"/>
    </xf>
    <xf numFmtId="0" fontId="2" fillId="3" borderId="37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wrapText="1"/>
    </xf>
    <xf numFmtId="4" fontId="2" fillId="3" borderId="42" xfId="0" applyNumberFormat="1" applyFont="1" applyFill="1" applyBorder="1" applyAlignment="1">
      <alignment horizontal="left" wrapText="1"/>
    </xf>
    <xf numFmtId="4" fontId="2" fillId="3" borderId="4" xfId="0" applyNumberFormat="1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2" fillId="3" borderId="29" xfId="0" applyFont="1" applyFill="1" applyBorder="1" applyAlignment="1">
      <alignment horizontal="left" wrapText="1"/>
    </xf>
    <xf numFmtId="43" fontId="6" fillId="0" borderId="16" xfId="0" applyNumberFormat="1" applyFont="1" applyBorder="1" applyAlignment="1">
      <alignment horizontal="right" wrapText="1"/>
    </xf>
    <xf numFmtId="4" fontId="6" fillId="0" borderId="43" xfId="0" applyNumberFormat="1" applyFont="1" applyBorder="1" applyAlignment="1">
      <alignment horizontal="right" wrapText="1"/>
    </xf>
    <xf numFmtId="4" fontId="2" fillId="0" borderId="40" xfId="0" applyNumberFormat="1" applyFont="1" applyBorder="1" applyAlignment="1">
      <alignment horizontal="right" wrapText="1"/>
    </xf>
    <xf numFmtId="9" fontId="2" fillId="0" borderId="0" xfId="0" applyNumberFormat="1" applyFont="1" applyAlignment="1">
      <alignment horizontal="right" wrapText="1"/>
    </xf>
    <xf numFmtId="0" fontId="2" fillId="3" borderId="29" xfId="0" applyFont="1" applyFill="1" applyBorder="1" applyAlignment="1">
      <alignment wrapText="1"/>
    </xf>
    <xf numFmtId="10" fontId="6" fillId="4" borderId="0" xfId="0" applyNumberFormat="1" applyFont="1" applyFill="1" applyAlignment="1">
      <alignment wrapText="1"/>
    </xf>
    <xf numFmtId="0" fontId="2" fillId="3" borderId="31" xfId="0" applyFont="1" applyFill="1" applyBorder="1" applyAlignment="1">
      <alignment horizontal="left" wrapText="1"/>
    </xf>
    <xf numFmtId="4" fontId="6" fillId="4" borderId="32" xfId="0" applyNumberFormat="1" applyFont="1" applyFill="1" applyBorder="1" applyAlignment="1">
      <alignment horizontal="right" vertical="center" wrapText="1"/>
    </xf>
    <xf numFmtId="4" fontId="6" fillId="4" borderId="44" xfId="0" applyNumberFormat="1" applyFont="1" applyFill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wrapText="1"/>
    </xf>
    <xf numFmtId="0" fontId="2" fillId="3" borderId="31" xfId="0" applyFont="1" applyFill="1" applyBorder="1" applyAlignment="1">
      <alignment horizont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44" xfId="0" applyNumberFormat="1" applyFont="1" applyBorder="1" applyAlignment="1">
      <alignment horizontal="right" vertical="center" wrapText="1"/>
    </xf>
    <xf numFmtId="0" fontId="2" fillId="3" borderId="21" xfId="0" applyFont="1" applyFill="1" applyBorder="1" applyAlignment="1">
      <alignment horizontal="left" wrapText="1"/>
    </xf>
    <xf numFmtId="4" fontId="6" fillId="4" borderId="17" xfId="0" applyNumberFormat="1" applyFont="1" applyFill="1" applyBorder="1" applyAlignment="1">
      <alignment horizontal="right" vertical="center" wrapText="1"/>
    </xf>
    <xf numFmtId="4" fontId="6" fillId="4" borderId="19" xfId="0" applyNumberFormat="1" applyFont="1" applyFill="1" applyBorder="1" applyAlignment="1">
      <alignment horizontal="right" vertical="center" wrapText="1"/>
    </xf>
    <xf numFmtId="4" fontId="2" fillId="5" borderId="22" xfId="0" applyNumberFormat="1" applyFont="1" applyFill="1" applyBorder="1" applyAlignment="1">
      <alignment horizontal="right" wrapText="1"/>
    </xf>
    <xf numFmtId="0" fontId="2" fillId="3" borderId="21" xfId="0" applyFont="1" applyFill="1" applyBorder="1" applyAlignment="1">
      <alignment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0" fontId="2" fillId="3" borderId="45" xfId="0" applyFont="1" applyFill="1" applyBorder="1" applyAlignment="1">
      <alignment wrapText="1"/>
    </xf>
    <xf numFmtId="4" fontId="2" fillId="3" borderId="46" xfId="0" applyNumberFormat="1" applyFont="1" applyFill="1" applyBorder="1" applyAlignment="1">
      <alignment horizontal="right" vertical="center" wrapText="1"/>
    </xf>
    <xf numFmtId="4" fontId="2" fillId="3" borderId="47" xfId="0" applyNumberFormat="1" applyFont="1" applyFill="1" applyBorder="1" applyAlignment="1">
      <alignment horizontal="right" vertical="center" wrapText="1"/>
    </xf>
    <xf numFmtId="4" fontId="2" fillId="3" borderId="48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 wrapText="1"/>
    </xf>
    <xf numFmtId="4" fontId="2" fillId="3" borderId="42" xfId="0" applyNumberFormat="1" applyFont="1" applyFill="1" applyBorder="1" applyAlignment="1">
      <alignment horizontal="left"/>
    </xf>
    <xf numFmtId="4" fontId="2" fillId="3" borderId="42" xfId="0" applyNumberFormat="1" applyFont="1" applyFill="1" applyBorder="1" applyAlignment="1">
      <alignment horizontal="center" wrapText="1"/>
    </xf>
    <xf numFmtId="9" fontId="6" fillId="0" borderId="16" xfId="0" applyNumberFormat="1" applyFont="1" applyBorder="1" applyAlignment="1">
      <alignment horizontal="right" wrapText="1"/>
    </xf>
    <xf numFmtId="9" fontId="6" fillId="0" borderId="43" xfId="0" applyNumberFormat="1" applyFont="1" applyBorder="1" applyAlignment="1">
      <alignment horizontal="right" wrapText="1"/>
    </xf>
    <xf numFmtId="9" fontId="2" fillId="0" borderId="40" xfId="0" applyNumberFormat="1" applyFont="1" applyBorder="1" applyAlignment="1">
      <alignment horizontal="right" wrapText="1"/>
    </xf>
    <xf numFmtId="0" fontId="2" fillId="3" borderId="29" xfId="0" applyFont="1" applyFill="1" applyBorder="1"/>
    <xf numFmtId="0" fontId="6" fillId="0" borderId="16" xfId="0" applyFont="1" applyBorder="1" applyAlignment="1">
      <alignment horizontal="right" wrapText="1"/>
    </xf>
    <xf numFmtId="168" fontId="6" fillId="0" borderId="16" xfId="0" applyNumberFormat="1" applyFont="1" applyBorder="1" applyAlignment="1">
      <alignment horizontal="right" wrapText="1"/>
    </xf>
    <xf numFmtId="3" fontId="6" fillId="0" borderId="43" xfId="0" applyNumberFormat="1" applyFont="1" applyBorder="1" applyAlignment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0" fontId="2" fillId="3" borderId="31" xfId="0" applyFont="1" applyFill="1" applyBorder="1" applyAlignment="1">
      <alignment horizontal="left"/>
    </xf>
    <xf numFmtId="0" fontId="6" fillId="0" borderId="32" xfId="0" applyFont="1" applyBorder="1" applyAlignment="1">
      <alignment horizontal="right" vertical="center" wrapText="1"/>
    </xf>
    <xf numFmtId="168" fontId="6" fillId="0" borderId="32" xfId="0" applyNumberFormat="1" applyFont="1" applyBorder="1" applyAlignment="1">
      <alignment horizontal="right" vertical="center" wrapText="1"/>
    </xf>
    <xf numFmtId="3" fontId="6" fillId="0" borderId="44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4" fontId="2" fillId="5" borderId="4" xfId="0" applyNumberFormat="1" applyFont="1" applyFill="1" applyBorder="1" applyAlignment="1">
      <alignment horizontal="center" wrapText="1"/>
    </xf>
    <xf numFmtId="10" fontId="6" fillId="0" borderId="0" xfId="0" applyNumberFormat="1" applyFont="1"/>
    <xf numFmtId="0" fontId="6" fillId="0" borderId="0" xfId="0" applyFont="1"/>
    <xf numFmtId="9" fontId="2" fillId="3" borderId="46" xfId="0" applyNumberFormat="1" applyFont="1" applyFill="1" applyBorder="1" applyAlignment="1">
      <alignment horizontal="right" vertical="center" wrapText="1"/>
    </xf>
    <xf numFmtId="9" fontId="2" fillId="3" borderId="47" xfId="0" applyNumberFormat="1" applyFont="1" applyFill="1" applyBorder="1" applyAlignment="1">
      <alignment horizontal="right" vertical="center" wrapText="1"/>
    </xf>
    <xf numFmtId="9" fontId="2" fillId="3" borderId="49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6" fillId="0" borderId="32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6" fillId="0" borderId="17" xfId="1" applyFont="1" applyFill="1" applyBorder="1" applyAlignment="1">
      <alignment horizontal="righ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center" vertical="center"/>
    </xf>
    <xf numFmtId="3" fontId="2" fillId="3" borderId="46" xfId="0" applyNumberFormat="1" applyFont="1" applyFill="1" applyBorder="1" applyAlignment="1">
      <alignment horizontal="right" vertical="center" wrapText="1"/>
    </xf>
    <xf numFmtId="9" fontId="6" fillId="6" borderId="16" xfId="3" applyFont="1" applyFill="1" applyBorder="1" applyAlignment="1">
      <alignment horizontal="right" wrapText="1"/>
    </xf>
    <xf numFmtId="9" fontId="6" fillId="0" borderId="16" xfId="3" applyFont="1" applyBorder="1" applyAlignment="1">
      <alignment horizontal="right" wrapText="1"/>
    </xf>
    <xf numFmtId="9" fontId="6" fillId="0" borderId="43" xfId="3" applyFont="1" applyBorder="1" applyAlignment="1">
      <alignment horizontal="right" wrapText="1"/>
    </xf>
    <xf numFmtId="9" fontId="2" fillId="0" borderId="40" xfId="3" applyFont="1" applyBorder="1" applyAlignment="1">
      <alignment wrapText="1"/>
    </xf>
    <xf numFmtId="9" fontId="6" fillId="4" borderId="32" xfId="3" applyFont="1" applyFill="1" applyBorder="1" applyAlignment="1">
      <alignment horizontal="right" vertical="center" wrapText="1"/>
    </xf>
    <xf numFmtId="9" fontId="6" fillId="4" borderId="44" xfId="3" applyFont="1" applyFill="1" applyBorder="1" applyAlignment="1">
      <alignment horizontal="right" vertical="center" wrapText="1"/>
    </xf>
    <xf numFmtId="9" fontId="2" fillId="0" borderId="22" xfId="3" applyFont="1" applyBorder="1" applyAlignment="1">
      <alignment wrapText="1"/>
    </xf>
    <xf numFmtId="9" fontId="2" fillId="6" borderId="22" xfId="3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9" fontId="6" fillId="4" borderId="17" xfId="3" applyFont="1" applyFill="1" applyBorder="1" applyAlignment="1">
      <alignment horizontal="right" vertical="center" wrapText="1"/>
    </xf>
    <xf numFmtId="9" fontId="6" fillId="4" borderId="19" xfId="3" applyFont="1" applyFill="1" applyBorder="1" applyAlignment="1">
      <alignment horizontal="right" vertical="center" wrapText="1"/>
    </xf>
    <xf numFmtId="9" fontId="2" fillId="4" borderId="22" xfId="3" applyFont="1" applyFill="1" applyBorder="1" applyAlignment="1">
      <alignment wrapText="1"/>
    </xf>
    <xf numFmtId="9" fontId="2" fillId="3" borderId="46" xfId="3" applyFont="1" applyFill="1" applyBorder="1" applyAlignment="1">
      <alignment horizontal="right" vertical="center" wrapText="1"/>
    </xf>
    <xf numFmtId="9" fontId="2" fillId="3" borderId="47" xfId="3" applyFont="1" applyFill="1" applyBorder="1" applyAlignment="1">
      <alignment horizontal="right" vertical="center" wrapText="1"/>
    </xf>
    <xf numFmtId="9" fontId="2" fillId="3" borderId="48" xfId="3" applyFont="1" applyFill="1" applyBorder="1" applyAlignment="1">
      <alignment wrapText="1"/>
    </xf>
    <xf numFmtId="0" fontId="6" fillId="0" borderId="0" xfId="0" applyFont="1" applyAlignment="1">
      <alignment horizontal="left" wrapText="1"/>
    </xf>
  </cellXfs>
  <cellStyles count="5">
    <cellStyle name="Millares" xfId="1" builtinId="3"/>
    <cellStyle name="Millares 2" xfId="4" xr:uid="{ED81257D-A78B-4D7D-8570-560BE5F1915F}"/>
    <cellStyle name="Moneda" xfId="2" builtinId="4"/>
    <cellStyle name="Normal" xfId="0" builtinId="0"/>
    <cellStyle name="Porcentaje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877B1F34-4904-443B-8603-6E5D6A8D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5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A6259D9C-A206-4428-A721-8F164243E0CB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8" dT="2022-12-27T13:28:24.76" personId="{A6259D9C-A206-4428-A721-8F164243E0CB}" id="{A1203A26-AE3B-4A7B-B2BA-392719982BD1}">
    <text>Debes dar el detalle, si fue una visita de seguimiento y si el técnico le compaño, sus recomendaciones de seguimiento, de acuerdo a la justificación de la solicitud del viatico y pago a facilitador.</text>
  </threadedComment>
  <threadedComment ref="C20" dT="2022-12-27T13:28:24.76" personId="{A6259D9C-A206-4428-A721-8F164243E0CB}" id="{68DA563D-AE2A-4284-BF7D-B0F79F4B7144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1A4C-9F66-4CA6-957F-E33F5506E7B1}">
  <dimension ref="A1:V147"/>
  <sheetViews>
    <sheetView tabSelected="1" workbookViewId="0">
      <selection sqref="A1:XFD1048576"/>
    </sheetView>
  </sheetViews>
  <sheetFormatPr baseColWidth="10" defaultColWidth="11.42578125" defaultRowHeight="15.75" x14ac:dyDescent="0.25"/>
  <cols>
    <col min="1" max="1" width="4" style="2" customWidth="1"/>
    <col min="2" max="2" width="16" style="2" customWidth="1"/>
    <col min="3" max="3" width="43.42578125" style="2" customWidth="1"/>
    <col min="4" max="4" width="19.140625" style="2" customWidth="1"/>
    <col min="5" max="5" width="15.140625" style="2" customWidth="1"/>
    <col min="6" max="6" width="13.140625" style="2" customWidth="1"/>
    <col min="7" max="7" width="15.85546875" style="2" customWidth="1"/>
    <col min="8" max="8" width="12" style="2" customWidth="1"/>
    <col min="9" max="9" width="17" style="2" customWidth="1"/>
    <col min="10" max="10" width="17.28515625" style="2" customWidth="1"/>
    <col min="11" max="11" width="16.7109375" style="2" customWidth="1"/>
    <col min="12" max="12" width="17.42578125" style="2" customWidth="1"/>
    <col min="13" max="13" width="17.140625" style="2" customWidth="1"/>
    <col min="14" max="14" width="18.5703125" style="2" customWidth="1"/>
    <col min="15" max="15" width="14.85546875" style="2" customWidth="1"/>
    <col min="16" max="16" width="18.42578125" style="2" customWidth="1"/>
    <col min="17" max="17" width="13.85546875" style="2" bestFit="1" customWidth="1"/>
    <col min="18" max="18" width="15" style="2" customWidth="1"/>
    <col min="19" max="19" width="13.7109375" style="2" customWidth="1"/>
    <col min="20" max="20" width="14.42578125" style="2" customWidth="1"/>
    <col min="21" max="21" width="14" style="2" customWidth="1"/>
    <col min="22" max="22" width="12.42578125" style="2" bestFit="1" customWidth="1"/>
    <col min="23" max="16384" width="11.42578125" style="2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6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8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8" ht="6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8" ht="8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8" ht="18" customHeight="1" x14ac:dyDescent="0.25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8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8" ht="18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R10" s="8"/>
    </row>
    <row r="11" spans="1:18" ht="18" customHeight="1" x14ac:dyDescent="0.25">
      <c r="A11" s="9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8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8" ht="16.5" thickBo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/>
    </row>
    <row r="14" spans="1:18" ht="15.75" customHeight="1" thickBot="1" x14ac:dyDescent="0.3">
      <c r="A14" s="13" t="s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8" ht="16.5" thickBot="1" x14ac:dyDescent="0.3">
      <c r="A15" s="16" t="s">
        <v>7</v>
      </c>
      <c r="B15" s="17" t="s">
        <v>8</v>
      </c>
      <c r="C15" s="18"/>
      <c r="D15" s="19" t="s">
        <v>9</v>
      </c>
      <c r="E15" s="19" t="s">
        <v>10</v>
      </c>
      <c r="F15" s="19" t="s">
        <v>11</v>
      </c>
      <c r="G15" s="19" t="s">
        <v>12</v>
      </c>
      <c r="H15" s="17" t="s">
        <v>13</v>
      </c>
      <c r="I15" s="18"/>
      <c r="J15" s="19" t="s">
        <v>14</v>
      </c>
      <c r="K15" s="20"/>
      <c r="L15" s="20"/>
      <c r="M15" s="19" t="s">
        <v>15</v>
      </c>
      <c r="N15" s="19" t="s">
        <v>16</v>
      </c>
      <c r="O15" s="21" t="s">
        <v>17</v>
      </c>
    </row>
    <row r="16" spans="1:18" ht="16.5" thickBot="1" x14ac:dyDescent="0.3">
      <c r="A16" s="22"/>
      <c r="B16" s="23"/>
      <c r="C16" s="24"/>
      <c r="D16" s="25"/>
      <c r="E16" s="25"/>
      <c r="F16" s="25"/>
      <c r="G16" s="26"/>
      <c r="H16" s="27" t="s">
        <v>18</v>
      </c>
      <c r="I16" s="19" t="s">
        <v>19</v>
      </c>
      <c r="J16" s="28"/>
      <c r="K16" s="29"/>
      <c r="L16" s="29"/>
      <c r="M16" s="28"/>
      <c r="N16" s="25"/>
      <c r="O16" s="30"/>
    </row>
    <row r="17" spans="1:19" ht="26.25" customHeight="1" thickBot="1" x14ac:dyDescent="0.3">
      <c r="A17" s="22"/>
      <c r="B17" s="31" t="s">
        <v>20</v>
      </c>
      <c r="C17" s="32" t="s">
        <v>21</v>
      </c>
      <c r="D17" s="33"/>
      <c r="E17" s="33"/>
      <c r="F17" s="33"/>
      <c r="G17" s="34"/>
      <c r="H17" s="35" t="s">
        <v>22</v>
      </c>
      <c r="I17" s="33"/>
      <c r="J17" s="36"/>
      <c r="K17" s="37" t="s">
        <v>23</v>
      </c>
      <c r="L17" s="37" t="s">
        <v>24</v>
      </c>
      <c r="M17" s="36"/>
      <c r="N17" s="33"/>
      <c r="O17" s="38"/>
    </row>
    <row r="18" spans="1:19" ht="71.25" x14ac:dyDescent="0.25">
      <c r="A18" s="39">
        <v>1</v>
      </c>
      <c r="B18" s="40" t="s">
        <v>25</v>
      </c>
      <c r="C18" s="41" t="s">
        <v>26</v>
      </c>
      <c r="D18" s="42" t="s">
        <v>27</v>
      </c>
      <c r="E18" s="43" t="s">
        <v>28</v>
      </c>
      <c r="F18" s="42" t="s">
        <v>29</v>
      </c>
      <c r="G18" s="44">
        <v>8</v>
      </c>
      <c r="H18" s="44"/>
      <c r="I18" s="44"/>
      <c r="J18" s="45"/>
      <c r="K18" s="46">
        <v>2100</v>
      </c>
      <c r="L18" s="46">
        <v>6250</v>
      </c>
      <c r="M18" s="46"/>
      <c r="N18" s="46">
        <v>11200</v>
      </c>
      <c r="O18" s="45">
        <f>M18+N18</f>
        <v>11200</v>
      </c>
      <c r="P18" s="47"/>
    </row>
    <row r="19" spans="1:19" ht="57" x14ac:dyDescent="0.25">
      <c r="A19" s="48">
        <v>0</v>
      </c>
      <c r="B19" s="40" t="s">
        <v>30</v>
      </c>
      <c r="C19" s="41" t="s">
        <v>31</v>
      </c>
      <c r="D19" s="42" t="s">
        <v>27</v>
      </c>
      <c r="E19" s="43">
        <v>45723</v>
      </c>
      <c r="F19" s="42" t="s">
        <v>32</v>
      </c>
      <c r="G19" s="49">
        <v>8</v>
      </c>
      <c r="H19" s="49"/>
      <c r="I19" s="49"/>
      <c r="J19" s="50"/>
      <c r="K19" s="51">
        <v>2100</v>
      </c>
      <c r="L19" s="46">
        <v>6250</v>
      </c>
      <c r="M19" s="51"/>
      <c r="N19" s="51">
        <v>10400</v>
      </c>
      <c r="O19" s="50">
        <f>SUM(M19:N19)</f>
        <v>10400</v>
      </c>
      <c r="P19" s="47"/>
      <c r="R19" s="47"/>
    </row>
    <row r="20" spans="1:19" ht="63" x14ac:dyDescent="0.25">
      <c r="A20" s="39">
        <v>1</v>
      </c>
      <c r="B20" s="52" t="s">
        <v>33</v>
      </c>
      <c r="C20" s="53" t="s">
        <v>34</v>
      </c>
      <c r="D20" s="42" t="s">
        <v>27</v>
      </c>
      <c r="E20" s="43" t="s">
        <v>35</v>
      </c>
      <c r="F20" s="54" t="s">
        <v>36</v>
      </c>
      <c r="G20" s="44">
        <v>16</v>
      </c>
      <c r="H20" s="44"/>
      <c r="I20" s="44"/>
      <c r="J20" s="45"/>
      <c r="K20" s="46">
        <v>6200</v>
      </c>
      <c r="L20" s="46">
        <v>18250</v>
      </c>
      <c r="M20" s="46"/>
      <c r="N20" s="46">
        <v>11200</v>
      </c>
      <c r="O20" s="45">
        <f>SUM(M20:N20)</f>
        <v>11200</v>
      </c>
      <c r="P20" s="47"/>
    </row>
    <row r="21" spans="1:19" ht="78.75" x14ac:dyDescent="0.25">
      <c r="A21" s="48">
        <v>1</v>
      </c>
      <c r="B21" s="40" t="s">
        <v>25</v>
      </c>
      <c r="C21" s="55" t="s">
        <v>37</v>
      </c>
      <c r="D21" s="42" t="s">
        <v>27</v>
      </c>
      <c r="E21" s="43" t="s">
        <v>38</v>
      </c>
      <c r="F21" s="42" t="s">
        <v>29</v>
      </c>
      <c r="G21" s="49">
        <v>8</v>
      </c>
      <c r="H21" s="49"/>
      <c r="I21" s="49"/>
      <c r="J21" s="56"/>
      <c r="K21" s="51">
        <v>2100</v>
      </c>
      <c r="L21" s="51">
        <v>7125</v>
      </c>
      <c r="M21" s="51"/>
      <c r="N21" s="51">
        <v>11200</v>
      </c>
      <c r="O21" s="50">
        <f>SUM(M21:N21)</f>
        <v>11200</v>
      </c>
      <c r="P21" s="47"/>
      <c r="Q21" s="2" t="s">
        <v>18</v>
      </c>
    </row>
    <row r="22" spans="1:19" ht="103.5" customHeight="1" thickBot="1" x14ac:dyDescent="0.3">
      <c r="A22" s="48">
        <v>0</v>
      </c>
      <c r="B22" s="40" t="s">
        <v>30</v>
      </c>
      <c r="C22" s="57" t="s">
        <v>39</v>
      </c>
      <c r="D22" s="42" t="s">
        <v>27</v>
      </c>
      <c r="E22" s="43">
        <v>45744</v>
      </c>
      <c r="F22" s="42" t="s">
        <v>32</v>
      </c>
      <c r="G22" s="49">
        <v>8</v>
      </c>
      <c r="H22" s="49"/>
      <c r="I22" s="49"/>
      <c r="J22" s="50"/>
      <c r="K22" s="51">
        <v>2100</v>
      </c>
      <c r="L22" s="51">
        <v>7125</v>
      </c>
      <c r="M22" s="51"/>
      <c r="N22" s="51">
        <v>10400</v>
      </c>
      <c r="O22" s="50">
        <f>SUM(M22:N22)</f>
        <v>10400</v>
      </c>
      <c r="P22" s="47"/>
      <c r="Q22" s="47"/>
      <c r="S22" s="47"/>
    </row>
    <row r="23" spans="1:19" ht="15.75" customHeight="1" thickBot="1" x14ac:dyDescent="0.3">
      <c r="A23" s="58">
        <f>SUM(A18:A22)</f>
        <v>3</v>
      </c>
      <c r="B23" s="59" t="s">
        <v>40</v>
      </c>
      <c r="C23" s="59"/>
      <c r="D23" s="59"/>
      <c r="E23" s="59"/>
      <c r="F23" s="59"/>
      <c r="G23" s="60">
        <f t="shared" ref="G23:N23" si="0">SUM(G18:G22)</f>
        <v>48</v>
      </c>
      <c r="H23" s="60">
        <f t="shared" si="0"/>
        <v>0</v>
      </c>
      <c r="I23" s="60">
        <f t="shared" si="0"/>
        <v>0</v>
      </c>
      <c r="J23" s="60">
        <f t="shared" si="0"/>
        <v>0</v>
      </c>
      <c r="K23" s="60">
        <f t="shared" si="0"/>
        <v>14600</v>
      </c>
      <c r="L23" s="60">
        <f t="shared" si="0"/>
        <v>45000</v>
      </c>
      <c r="M23" s="60">
        <f t="shared" si="0"/>
        <v>0</v>
      </c>
      <c r="N23" s="60">
        <f t="shared" si="0"/>
        <v>54400</v>
      </c>
      <c r="O23" s="60">
        <f>SUM(O18:O22)</f>
        <v>54400</v>
      </c>
      <c r="P23" s="61"/>
      <c r="Q23" s="61"/>
    </row>
    <row r="24" spans="1:19" ht="15.75" customHeight="1" thickBot="1" x14ac:dyDescent="0.3">
      <c r="A24" s="62" t="s">
        <v>41</v>
      </c>
      <c r="B24" s="63"/>
      <c r="C24" s="63"/>
      <c r="D24" s="63"/>
      <c r="E24" s="63"/>
      <c r="F24" s="63"/>
      <c r="G24" s="64"/>
      <c r="H24" s="65"/>
      <c r="I24" s="65"/>
      <c r="J24" s="66"/>
      <c r="K24" s="66"/>
      <c r="L24" s="66"/>
      <c r="M24" s="67">
        <v>0</v>
      </c>
      <c r="N24" s="67">
        <f>N23*-0.1</f>
        <v>-5440</v>
      </c>
      <c r="O24" s="67">
        <f>N24</f>
        <v>-5440</v>
      </c>
    </row>
    <row r="25" spans="1:19" ht="15.75" customHeight="1" thickBot="1" x14ac:dyDescent="0.3">
      <c r="A25" s="68" t="s">
        <v>42</v>
      </c>
      <c r="B25" s="69"/>
      <c r="C25" s="69"/>
      <c r="D25" s="69"/>
      <c r="E25" s="69"/>
      <c r="F25" s="69"/>
      <c r="G25" s="70"/>
      <c r="H25" s="71"/>
      <c r="I25" s="71"/>
      <c r="J25" s="72"/>
      <c r="K25" s="72"/>
      <c r="L25" s="72"/>
      <c r="M25" s="67">
        <f>+M23+M24</f>
        <v>0</v>
      </c>
      <c r="N25" s="67">
        <f>+N23+N24</f>
        <v>48960</v>
      </c>
      <c r="O25" s="67">
        <f>+O23+O24</f>
        <v>48960</v>
      </c>
    </row>
    <row r="26" spans="1:19" ht="16.5" thickBot="1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5"/>
      <c r="K26" s="75"/>
      <c r="L26" s="75"/>
      <c r="M26" s="75"/>
      <c r="N26" s="75"/>
      <c r="O26" s="76"/>
    </row>
    <row r="27" spans="1:19" ht="16.5" customHeight="1" thickBot="1" x14ac:dyDescent="0.3">
      <c r="A27" s="77" t="s">
        <v>43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80"/>
    </row>
    <row r="28" spans="1:19" ht="23.25" customHeight="1" thickBot="1" x14ac:dyDescent="0.3">
      <c r="A28" s="16" t="s">
        <v>7</v>
      </c>
      <c r="B28" s="17" t="s">
        <v>8</v>
      </c>
      <c r="C28" s="18"/>
      <c r="D28" s="19" t="s">
        <v>9</v>
      </c>
      <c r="E28" s="19" t="s">
        <v>10</v>
      </c>
      <c r="F28" s="19" t="s">
        <v>11</v>
      </c>
      <c r="G28" s="19" t="s">
        <v>44</v>
      </c>
      <c r="H28" s="17" t="s">
        <v>13</v>
      </c>
      <c r="I28" s="18"/>
      <c r="J28" s="19" t="s">
        <v>14</v>
      </c>
      <c r="K28" s="20"/>
      <c r="L28" s="20"/>
      <c r="M28" s="19" t="s">
        <v>15</v>
      </c>
      <c r="N28" s="19" t="s">
        <v>16</v>
      </c>
      <c r="O28" s="21" t="s">
        <v>17</v>
      </c>
    </row>
    <row r="29" spans="1:19" ht="0.75" customHeight="1" thickBot="1" x14ac:dyDescent="0.3">
      <c r="A29" s="22"/>
      <c r="B29" s="23"/>
      <c r="C29" s="24"/>
      <c r="D29" s="25"/>
      <c r="E29" s="25"/>
      <c r="F29" s="25"/>
      <c r="G29" s="26"/>
      <c r="H29" s="19" t="s">
        <v>22</v>
      </c>
      <c r="I29" s="19" t="s">
        <v>19</v>
      </c>
      <c r="J29" s="28"/>
      <c r="K29" s="29"/>
      <c r="L29" s="29"/>
      <c r="M29" s="28"/>
      <c r="N29" s="25"/>
      <c r="O29" s="30"/>
    </row>
    <row r="30" spans="1:19" ht="28.5" customHeight="1" thickBot="1" x14ac:dyDescent="0.3">
      <c r="A30" s="22"/>
      <c r="B30" s="81" t="s">
        <v>20</v>
      </c>
      <c r="C30" s="32" t="s">
        <v>21</v>
      </c>
      <c r="D30" s="33"/>
      <c r="E30" s="33"/>
      <c r="F30" s="33"/>
      <c r="G30" s="34"/>
      <c r="H30" s="33"/>
      <c r="I30" s="33"/>
      <c r="J30" s="36"/>
      <c r="K30" s="37" t="s">
        <v>23</v>
      </c>
      <c r="L30" s="37" t="s">
        <v>24</v>
      </c>
      <c r="M30" s="36"/>
      <c r="N30" s="33"/>
      <c r="O30" s="38"/>
    </row>
    <row r="31" spans="1:19" ht="87" customHeight="1" x14ac:dyDescent="0.25">
      <c r="A31" s="82"/>
      <c r="B31" s="83"/>
      <c r="C31" s="57" t="s">
        <v>45</v>
      </c>
      <c r="D31" s="83" t="s">
        <v>46</v>
      </c>
      <c r="E31" s="84" t="s">
        <v>47</v>
      </c>
      <c r="F31" s="85" t="s">
        <v>48</v>
      </c>
      <c r="G31" s="44">
        <v>16</v>
      </c>
      <c r="H31" s="44"/>
      <c r="I31" s="44"/>
      <c r="J31" s="45"/>
      <c r="K31" s="86">
        <v>5100</v>
      </c>
      <c r="L31" s="87">
        <v>15400</v>
      </c>
      <c r="M31" s="86"/>
      <c r="N31" s="86"/>
      <c r="O31" s="88">
        <f>SUM(M31:N31)</f>
        <v>0</v>
      </c>
      <c r="P31" s="47"/>
    </row>
    <row r="32" spans="1:19" ht="94.5" x14ac:dyDescent="0.25">
      <c r="A32" s="89">
        <v>0</v>
      </c>
      <c r="B32" s="52"/>
      <c r="C32" s="90" t="s">
        <v>49</v>
      </c>
      <c r="D32" s="52" t="s">
        <v>46</v>
      </c>
      <c r="E32" s="91" t="s">
        <v>50</v>
      </c>
      <c r="F32" s="52" t="s">
        <v>51</v>
      </c>
      <c r="G32" s="92">
        <v>8</v>
      </c>
      <c r="H32" s="49"/>
      <c r="I32" s="49"/>
      <c r="J32" s="50"/>
      <c r="K32" s="93">
        <f>4500*0.4</f>
        <v>1800</v>
      </c>
      <c r="L32" s="94">
        <f>+(8500+6900)*0.4</f>
        <v>6160</v>
      </c>
      <c r="M32" s="94">
        <v>0</v>
      </c>
      <c r="N32" s="94">
        <v>0</v>
      </c>
      <c r="O32" s="95">
        <f>SUM(M32:N32)</f>
        <v>0</v>
      </c>
    </row>
    <row r="33" spans="1:19" ht="138" customHeight="1" x14ac:dyDescent="0.25">
      <c r="A33" s="89">
        <v>1</v>
      </c>
      <c r="B33" s="52"/>
      <c r="C33" s="90" t="s">
        <v>52</v>
      </c>
      <c r="D33" s="52" t="s">
        <v>46</v>
      </c>
      <c r="E33" s="96" t="s">
        <v>53</v>
      </c>
      <c r="F33" s="52" t="s">
        <v>54</v>
      </c>
      <c r="G33" s="49">
        <v>8</v>
      </c>
      <c r="H33" s="49"/>
      <c r="I33" s="49"/>
      <c r="J33" s="50"/>
      <c r="K33" s="97">
        <f>4500*0.6</f>
        <v>2700</v>
      </c>
      <c r="L33" s="98">
        <f>+(8500+6900)*0.6</f>
        <v>9240</v>
      </c>
      <c r="M33" s="94">
        <v>0</v>
      </c>
      <c r="N33" s="94">
        <v>11200</v>
      </c>
      <c r="O33" s="95">
        <f>SUM(M33:N33)</f>
        <v>11200</v>
      </c>
      <c r="P33" s="99"/>
      <c r="Q33" s="61"/>
    </row>
    <row r="34" spans="1:19" ht="63" x14ac:dyDescent="0.25">
      <c r="A34" s="100">
        <v>1</v>
      </c>
      <c r="B34" s="52"/>
      <c r="C34" s="101" t="s">
        <v>55</v>
      </c>
      <c r="D34" s="52" t="s">
        <v>46</v>
      </c>
      <c r="E34" s="96" t="s">
        <v>56</v>
      </c>
      <c r="F34" s="52" t="s">
        <v>57</v>
      </c>
      <c r="G34" s="49">
        <v>8</v>
      </c>
      <c r="H34" s="49"/>
      <c r="I34" s="49"/>
      <c r="J34" s="50"/>
      <c r="K34" s="102">
        <f>4200*0.4</f>
        <v>1680</v>
      </c>
      <c r="L34" s="102">
        <f>15400*0.4</f>
        <v>6160</v>
      </c>
      <c r="M34" s="103">
        <v>0</v>
      </c>
      <c r="N34" s="103">
        <v>0</v>
      </c>
      <c r="O34" s="95">
        <f t="shared" ref="O34:O35" si="1">SUM(M34:N34)</f>
        <v>0</v>
      </c>
      <c r="P34" s="47"/>
    </row>
    <row r="35" spans="1:19" ht="78.75" x14ac:dyDescent="0.25">
      <c r="A35" s="100"/>
      <c r="B35" s="52"/>
      <c r="C35" s="104" t="s">
        <v>58</v>
      </c>
      <c r="D35" s="52" t="s">
        <v>46</v>
      </c>
      <c r="E35" s="96">
        <v>45736</v>
      </c>
      <c r="F35" s="52" t="s">
        <v>59</v>
      </c>
      <c r="G35" s="49">
        <v>8</v>
      </c>
      <c r="H35" s="49"/>
      <c r="I35" s="49"/>
      <c r="J35" s="50"/>
      <c r="K35" s="103">
        <f>4200*0.6</f>
        <v>2520</v>
      </c>
      <c r="L35" s="103">
        <f>+(8500+6900)*0.6</f>
        <v>9240</v>
      </c>
      <c r="M35" s="103">
        <v>0</v>
      </c>
      <c r="N35" s="103">
        <v>0</v>
      </c>
      <c r="O35" s="95">
        <f t="shared" si="1"/>
        <v>0</v>
      </c>
    </row>
    <row r="36" spans="1:19" ht="78.75" x14ac:dyDescent="0.25">
      <c r="A36" s="89">
        <v>1</v>
      </c>
      <c r="B36" s="52" t="s">
        <v>60</v>
      </c>
      <c r="C36" s="90" t="s">
        <v>61</v>
      </c>
      <c r="D36" s="52" t="s">
        <v>46</v>
      </c>
      <c r="E36" s="96" t="s">
        <v>62</v>
      </c>
      <c r="F36" s="52" t="s">
        <v>51</v>
      </c>
      <c r="G36" s="49">
        <v>16</v>
      </c>
      <c r="H36" s="49">
        <v>9</v>
      </c>
      <c r="I36" s="49">
        <v>3</v>
      </c>
      <c r="J36" s="50"/>
      <c r="K36" s="103">
        <f>3000*0.6</f>
        <v>1800</v>
      </c>
      <c r="L36" s="103">
        <f>(20000+16400)*0.6</f>
        <v>21840</v>
      </c>
      <c r="M36" s="103">
        <v>0</v>
      </c>
      <c r="N36" s="103">
        <v>28800</v>
      </c>
      <c r="O36" s="95">
        <f>SUM(M36:N36)</f>
        <v>28800</v>
      </c>
      <c r="P36" s="99"/>
      <c r="Q36" s="47"/>
      <c r="R36" s="47"/>
      <c r="S36" s="47"/>
    </row>
    <row r="37" spans="1:19" ht="117.75" customHeight="1" x14ac:dyDescent="0.25">
      <c r="A37" s="89"/>
      <c r="B37" s="52"/>
      <c r="C37" s="90" t="s">
        <v>63</v>
      </c>
      <c r="D37" s="52" t="s">
        <v>46</v>
      </c>
      <c r="E37" s="96">
        <v>45744</v>
      </c>
      <c r="F37" s="52" t="s">
        <v>51</v>
      </c>
      <c r="G37" s="49">
        <v>8</v>
      </c>
      <c r="H37" s="49">
        <v>43</v>
      </c>
      <c r="I37" s="49">
        <v>1</v>
      </c>
      <c r="J37" s="50"/>
      <c r="K37" s="103">
        <f>3000*0.4</f>
        <v>1200</v>
      </c>
      <c r="L37" s="103">
        <f>(20000+16400)*0.4</f>
        <v>14560</v>
      </c>
      <c r="M37" s="103">
        <v>0</v>
      </c>
      <c r="N37" s="103">
        <v>0</v>
      </c>
      <c r="O37" s="95">
        <f>SUM(M37:N37)</f>
        <v>0</v>
      </c>
      <c r="P37" s="99"/>
      <c r="Q37" s="47"/>
      <c r="R37" s="47"/>
      <c r="S37" s="47"/>
    </row>
    <row r="38" spans="1:19" ht="15" customHeight="1" x14ac:dyDescent="0.25">
      <c r="A38" s="105">
        <f>SUM(A31:A37)</f>
        <v>3</v>
      </c>
      <c r="B38" s="106" t="s">
        <v>40</v>
      </c>
      <c r="C38" s="106"/>
      <c r="D38" s="106"/>
      <c r="E38" s="106"/>
      <c r="F38" s="106"/>
      <c r="G38" s="107">
        <f t="shared" ref="G38:O38" si="2">SUM(G31:G37)</f>
        <v>72</v>
      </c>
      <c r="H38" s="107">
        <f t="shared" si="2"/>
        <v>52</v>
      </c>
      <c r="I38" s="107">
        <f t="shared" si="2"/>
        <v>4</v>
      </c>
      <c r="J38" s="108">
        <f t="shared" si="2"/>
        <v>0</v>
      </c>
      <c r="K38" s="108">
        <f t="shared" si="2"/>
        <v>16800</v>
      </c>
      <c r="L38" s="108">
        <f t="shared" si="2"/>
        <v>82600</v>
      </c>
      <c r="M38" s="108">
        <f t="shared" si="2"/>
        <v>0</v>
      </c>
      <c r="N38" s="108">
        <f t="shared" si="2"/>
        <v>40000</v>
      </c>
      <c r="O38" s="109">
        <f t="shared" si="2"/>
        <v>40000</v>
      </c>
    </row>
    <row r="39" spans="1:19" ht="15" customHeight="1" x14ac:dyDescent="0.25">
      <c r="A39" s="110" t="s">
        <v>41</v>
      </c>
      <c r="B39" s="111"/>
      <c r="C39" s="111"/>
      <c r="D39" s="111"/>
      <c r="E39" s="111"/>
      <c r="F39" s="111"/>
      <c r="G39" s="112"/>
      <c r="H39" s="113"/>
      <c r="I39" s="113"/>
      <c r="J39" s="114"/>
      <c r="K39" s="115"/>
      <c r="L39" s="115"/>
      <c r="M39" s="115">
        <v>0</v>
      </c>
      <c r="N39" s="115">
        <f>0.1*-N38</f>
        <v>-4000</v>
      </c>
      <c r="O39" s="116">
        <f>SUM(N39:N39)</f>
        <v>-4000</v>
      </c>
    </row>
    <row r="40" spans="1:19" ht="15.75" customHeight="1" thickBot="1" x14ac:dyDescent="0.3">
      <c r="A40" s="117" t="s">
        <v>64</v>
      </c>
      <c r="B40" s="118"/>
      <c r="C40" s="118"/>
      <c r="D40" s="118"/>
      <c r="E40" s="118"/>
      <c r="F40" s="118"/>
      <c r="G40" s="119"/>
      <c r="H40" s="120"/>
      <c r="I40" s="120"/>
      <c r="J40" s="121"/>
      <c r="K40" s="122"/>
      <c r="L40" s="122"/>
      <c r="M40" s="122">
        <f>SUM(M38:M39)</f>
        <v>0</v>
      </c>
      <c r="N40" s="123">
        <f>+N38+N39</f>
        <v>36000</v>
      </c>
      <c r="O40" s="123">
        <f>+O38+O39</f>
        <v>36000</v>
      </c>
      <c r="P40" s="2" t="s">
        <v>65</v>
      </c>
      <c r="Q40" s="61"/>
    </row>
    <row r="41" spans="1:19" ht="16.5" thickBot="1" x14ac:dyDescent="0.3">
      <c r="A41" s="73"/>
      <c r="B41" s="73"/>
      <c r="C41" s="73"/>
      <c r="D41" s="73"/>
      <c r="E41" s="73"/>
      <c r="F41" s="73"/>
      <c r="G41" s="73"/>
      <c r="H41" s="74"/>
      <c r="I41" s="74"/>
      <c r="J41" s="75"/>
      <c r="K41" s="75"/>
      <c r="L41" s="75"/>
      <c r="M41" s="75"/>
      <c r="N41" s="75"/>
      <c r="O41" s="76"/>
    </row>
    <row r="42" spans="1:19" ht="15.75" customHeight="1" thickBot="1" x14ac:dyDescent="0.3">
      <c r="A42" s="77" t="s">
        <v>66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124"/>
      <c r="O42" s="125"/>
    </row>
    <row r="43" spans="1:19" ht="23.25" customHeight="1" thickBot="1" x14ac:dyDescent="0.3">
      <c r="A43" s="16" t="s">
        <v>7</v>
      </c>
      <c r="B43" s="17" t="s">
        <v>8</v>
      </c>
      <c r="C43" s="18"/>
      <c r="D43" s="19" t="s">
        <v>9</v>
      </c>
      <c r="E43" s="19" t="s">
        <v>10</v>
      </c>
      <c r="F43" s="19" t="s">
        <v>11</v>
      </c>
      <c r="G43" s="19" t="s">
        <v>44</v>
      </c>
      <c r="H43" s="17" t="s">
        <v>13</v>
      </c>
      <c r="I43" s="18"/>
      <c r="J43" s="19" t="s">
        <v>14</v>
      </c>
      <c r="K43" s="20"/>
      <c r="L43" s="20"/>
      <c r="M43" s="19" t="s">
        <v>15</v>
      </c>
      <c r="N43" s="19" t="s">
        <v>16</v>
      </c>
      <c r="O43" s="21" t="s">
        <v>17</v>
      </c>
    </row>
    <row r="44" spans="1:19" ht="2.25" customHeight="1" thickBot="1" x14ac:dyDescent="0.3">
      <c r="A44" s="22"/>
      <c r="B44" s="23"/>
      <c r="C44" s="24"/>
      <c r="D44" s="26"/>
      <c r="E44" s="26"/>
      <c r="F44" s="26"/>
      <c r="G44" s="26"/>
      <c r="H44" s="19" t="s">
        <v>22</v>
      </c>
      <c r="I44" s="19" t="s">
        <v>19</v>
      </c>
      <c r="J44" s="28"/>
      <c r="K44" s="29"/>
      <c r="L44" s="29"/>
      <c r="M44" s="28"/>
      <c r="N44" s="25"/>
      <c r="O44" s="30"/>
    </row>
    <row r="45" spans="1:19" ht="28.5" customHeight="1" thickBot="1" x14ac:dyDescent="0.3">
      <c r="A45" s="22"/>
      <c r="B45" s="126" t="s">
        <v>20</v>
      </c>
      <c r="C45" s="127" t="s">
        <v>21</v>
      </c>
      <c r="D45" s="26"/>
      <c r="E45" s="26"/>
      <c r="F45" s="26"/>
      <c r="G45" s="26"/>
      <c r="H45" s="33"/>
      <c r="I45" s="33"/>
      <c r="J45" s="36"/>
      <c r="K45" s="37" t="s">
        <v>23</v>
      </c>
      <c r="L45" s="128" t="s">
        <v>24</v>
      </c>
      <c r="M45" s="28"/>
      <c r="N45" s="25"/>
      <c r="O45" s="129"/>
    </row>
    <row r="46" spans="1:19" ht="123.75" customHeight="1" x14ac:dyDescent="0.25">
      <c r="A46" s="130">
        <v>1</v>
      </c>
      <c r="B46" s="52" t="s">
        <v>67</v>
      </c>
      <c r="C46" s="131" t="s">
        <v>68</v>
      </c>
      <c r="D46" s="52" t="s">
        <v>69</v>
      </c>
      <c r="E46" s="132" t="s">
        <v>70</v>
      </c>
      <c r="F46" s="132" t="s">
        <v>71</v>
      </c>
      <c r="G46" s="49">
        <v>16</v>
      </c>
      <c r="H46" s="133">
        <v>44</v>
      </c>
      <c r="I46" s="133">
        <v>7</v>
      </c>
      <c r="J46" s="134"/>
      <c r="K46" s="135">
        <v>5550</v>
      </c>
      <c r="L46" s="136">
        <v>2900</v>
      </c>
      <c r="M46" s="136"/>
      <c r="N46" s="95">
        <v>34200</v>
      </c>
      <c r="O46" s="136">
        <f>SUM(M46:N46)</f>
        <v>34200</v>
      </c>
      <c r="P46" s="137"/>
      <c r="Q46" s="138"/>
      <c r="R46" s="138"/>
      <c r="S46" s="138"/>
    </row>
    <row r="47" spans="1:19" ht="166.5" customHeight="1" thickBot="1" x14ac:dyDescent="0.3">
      <c r="A47" s="139">
        <v>1</v>
      </c>
      <c r="B47" s="52"/>
      <c r="C47" s="104" t="s">
        <v>72</v>
      </c>
      <c r="D47" s="52" t="s">
        <v>69</v>
      </c>
      <c r="E47" s="140">
        <v>45742</v>
      </c>
      <c r="F47" s="52" t="s">
        <v>73</v>
      </c>
      <c r="G47" s="49">
        <v>8</v>
      </c>
      <c r="H47" s="49"/>
      <c r="I47" s="49"/>
      <c r="J47" s="50"/>
      <c r="K47" s="136">
        <v>4800</v>
      </c>
      <c r="L47" s="136">
        <v>2750</v>
      </c>
      <c r="M47" s="136"/>
      <c r="N47" s="95"/>
      <c r="O47" s="136">
        <f>SUM(M47:N47)</f>
        <v>0</v>
      </c>
      <c r="P47" s="141"/>
    </row>
    <row r="48" spans="1:19" ht="2.4500000000000002" hidden="1" customHeight="1" x14ac:dyDescent="0.25">
      <c r="A48" s="142"/>
      <c r="B48" s="143"/>
      <c r="C48" s="144"/>
      <c r="D48" s="143"/>
      <c r="E48" s="145"/>
      <c r="F48" s="143"/>
      <c r="G48" s="133"/>
      <c r="H48" s="133">
        <v>0</v>
      </c>
      <c r="I48" s="146">
        <v>0</v>
      </c>
      <c r="J48" s="147"/>
      <c r="K48" s="148"/>
      <c r="L48" s="148"/>
      <c r="M48" s="148"/>
      <c r="N48" s="148"/>
      <c r="O48" s="149"/>
      <c r="P48" s="150"/>
    </row>
    <row r="49" spans="1:21" ht="16.5" thickBot="1" x14ac:dyDescent="0.3">
      <c r="A49" s="151">
        <f>SUM(A45:A48)</f>
        <v>2</v>
      </c>
      <c r="B49" s="152" t="s">
        <v>40</v>
      </c>
      <c r="C49" s="153"/>
      <c r="D49" s="153"/>
      <c r="E49" s="153"/>
      <c r="F49" s="154"/>
      <c r="G49" s="155">
        <f>SUM(G45:G48)</f>
        <v>24</v>
      </c>
      <c r="H49" s="156">
        <f t="shared" ref="H49:J49" si="3">SUM(H46:H48)</f>
        <v>44</v>
      </c>
      <c r="I49" s="157">
        <f t="shared" si="3"/>
        <v>7</v>
      </c>
      <c r="J49" s="157">
        <f t="shared" si="3"/>
        <v>0</v>
      </c>
      <c r="K49" s="157">
        <f>SUM(K45:K48)</f>
        <v>10350</v>
      </c>
      <c r="L49" s="157">
        <f>SUM(L45:L48)</f>
        <v>5650</v>
      </c>
      <c r="M49" s="157">
        <f>SUM(M45:M48)</f>
        <v>0</v>
      </c>
      <c r="N49" s="158">
        <f>SUM(N45:N48)</f>
        <v>34200</v>
      </c>
      <c r="O49" s="159">
        <f>SUM(O45:O48)</f>
        <v>34200</v>
      </c>
      <c r="P49" s="160"/>
    </row>
    <row r="50" spans="1:21" ht="16.5" thickBot="1" x14ac:dyDescent="0.3">
      <c r="A50" s="161" t="s">
        <v>41</v>
      </c>
      <c r="B50" s="162"/>
      <c r="C50" s="162"/>
      <c r="D50" s="162"/>
      <c r="E50" s="162"/>
      <c r="F50" s="162"/>
      <c r="G50" s="163"/>
      <c r="H50" s="164"/>
      <c r="I50" s="165"/>
      <c r="J50" s="166"/>
      <c r="K50" s="167"/>
      <c r="L50" s="167"/>
      <c r="M50" s="168">
        <v>0</v>
      </c>
      <c r="N50" s="169">
        <f>-0.1*N49</f>
        <v>-3420</v>
      </c>
      <c r="O50" s="170">
        <f>SUM(N50:N50)</f>
        <v>-3420</v>
      </c>
      <c r="P50" s="160"/>
    </row>
    <row r="51" spans="1:21" ht="16.5" thickBot="1" x14ac:dyDescent="0.3">
      <c r="A51" s="171" t="s">
        <v>64</v>
      </c>
      <c r="B51" s="172"/>
      <c r="C51" s="172"/>
      <c r="D51" s="172"/>
      <c r="E51" s="172"/>
      <c r="F51" s="172"/>
      <c r="G51" s="173"/>
      <c r="H51" s="174"/>
      <c r="I51" s="174"/>
      <c r="J51" s="175"/>
      <c r="K51" s="176"/>
      <c r="L51" s="176"/>
      <c r="M51" s="122">
        <f>SUM(M49:M50)</f>
        <v>0</v>
      </c>
      <c r="N51" s="177">
        <f>+N49+N50</f>
        <v>30780</v>
      </c>
      <c r="O51" s="123">
        <f>+O49+O50</f>
        <v>30780</v>
      </c>
      <c r="P51" s="160"/>
    </row>
    <row r="52" spans="1:21" ht="34.5" customHeight="1" thickBot="1" x14ac:dyDescent="0.3">
      <c r="A52" s="178"/>
      <c r="B52" s="178"/>
      <c r="C52" s="178"/>
      <c r="D52" s="178"/>
      <c r="E52" s="178"/>
      <c r="F52" s="178"/>
      <c r="G52" s="178"/>
      <c r="H52" s="74"/>
      <c r="I52" s="74"/>
      <c r="J52" s="75"/>
      <c r="K52" s="179"/>
      <c r="L52" s="179"/>
      <c r="M52" s="180"/>
      <c r="N52" s="181"/>
      <c r="O52" s="181"/>
    </row>
    <row r="53" spans="1:21" ht="34.5" hidden="1" customHeight="1" x14ac:dyDescent="0.25">
      <c r="A53" s="178"/>
      <c r="B53" s="178"/>
      <c r="C53" s="178"/>
      <c r="D53" s="178"/>
      <c r="E53" s="178"/>
      <c r="F53" s="178"/>
      <c r="G53" s="178"/>
      <c r="H53" s="74"/>
      <c r="I53" s="74"/>
      <c r="J53" s="75"/>
      <c r="K53" s="179"/>
      <c r="L53" s="179"/>
      <c r="M53" s="180"/>
      <c r="N53" s="181"/>
      <c r="O53" s="181"/>
    </row>
    <row r="54" spans="1:21" ht="34.5" hidden="1" customHeight="1" x14ac:dyDescent="0.25">
      <c r="A54" s="178"/>
      <c r="B54" s="178"/>
      <c r="C54" s="178"/>
      <c r="D54" s="178"/>
      <c r="E54" s="178"/>
      <c r="F54" s="178"/>
      <c r="G54" s="178"/>
      <c r="H54" s="74"/>
      <c r="I54" s="74"/>
      <c r="J54" s="75"/>
      <c r="K54" s="75"/>
      <c r="L54" s="75"/>
      <c r="M54" s="182"/>
      <c r="N54" s="182"/>
      <c r="O54" s="182"/>
    </row>
    <row r="55" spans="1:21" ht="34.5" hidden="1" customHeight="1" x14ac:dyDescent="0.25">
      <c r="A55" s="178"/>
      <c r="B55" s="178"/>
      <c r="C55" s="178"/>
      <c r="D55" s="178"/>
      <c r="E55" s="178"/>
      <c r="F55" s="178"/>
      <c r="G55" s="178"/>
      <c r="H55" s="183"/>
      <c r="I55" s="183"/>
      <c r="J55" s="182"/>
      <c r="K55" s="182"/>
      <c r="L55" s="182"/>
      <c r="M55" s="182"/>
      <c r="N55" s="182"/>
      <c r="O55" s="184"/>
    </row>
    <row r="56" spans="1:21" ht="15.75" customHeight="1" thickBot="1" x14ac:dyDescent="0.3">
      <c r="A56" s="13" t="s">
        <v>74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/>
    </row>
    <row r="57" spans="1:21" ht="24.75" customHeight="1" thickBot="1" x14ac:dyDescent="0.3">
      <c r="A57" s="16" t="s">
        <v>7</v>
      </c>
      <c r="B57" s="17" t="s">
        <v>8</v>
      </c>
      <c r="C57" s="18"/>
      <c r="D57" s="19" t="s">
        <v>9</v>
      </c>
      <c r="E57" s="19" t="s">
        <v>10</v>
      </c>
      <c r="F57" s="19" t="s">
        <v>11</v>
      </c>
      <c r="G57" s="19" t="s">
        <v>75</v>
      </c>
      <c r="H57" s="17" t="s">
        <v>13</v>
      </c>
      <c r="I57" s="18"/>
      <c r="J57" s="19" t="s">
        <v>14</v>
      </c>
      <c r="K57" s="20"/>
      <c r="L57" s="20"/>
      <c r="M57" s="19" t="s">
        <v>15</v>
      </c>
      <c r="N57" s="19" t="s">
        <v>16</v>
      </c>
      <c r="O57" s="21" t="s">
        <v>76</v>
      </c>
    </row>
    <row r="58" spans="1:21" ht="16.5" thickBot="1" x14ac:dyDescent="0.3">
      <c r="A58" s="22"/>
      <c r="B58" s="23"/>
      <c r="C58" s="24"/>
      <c r="D58" s="25"/>
      <c r="E58" s="25"/>
      <c r="F58" s="25"/>
      <c r="G58" s="26"/>
      <c r="H58" s="19" t="s">
        <v>22</v>
      </c>
      <c r="I58" s="19" t="s">
        <v>19</v>
      </c>
      <c r="J58" s="28"/>
      <c r="K58" s="29"/>
      <c r="L58" s="29"/>
      <c r="M58" s="28"/>
      <c r="N58" s="25"/>
      <c r="O58" s="30"/>
    </row>
    <row r="59" spans="1:21" ht="27.75" customHeight="1" thickBot="1" x14ac:dyDescent="0.3">
      <c r="A59" s="22"/>
      <c r="B59" s="31" t="s">
        <v>20</v>
      </c>
      <c r="C59" s="32" t="s">
        <v>21</v>
      </c>
      <c r="D59" s="33"/>
      <c r="E59" s="33"/>
      <c r="F59" s="33"/>
      <c r="G59" s="34"/>
      <c r="H59" s="33"/>
      <c r="I59" s="33"/>
      <c r="J59" s="36"/>
      <c r="K59" s="37" t="s">
        <v>23</v>
      </c>
      <c r="L59" s="37" t="s">
        <v>24</v>
      </c>
      <c r="M59" s="36"/>
      <c r="N59" s="33"/>
      <c r="O59" s="38"/>
    </row>
    <row r="60" spans="1:21" ht="51" hidden="1" customHeight="1" x14ac:dyDescent="0.25">
      <c r="A60" s="185"/>
      <c r="B60" s="186" t="s">
        <v>77</v>
      </c>
      <c r="C60" s="186" t="s">
        <v>78</v>
      </c>
      <c r="D60" s="186" t="s">
        <v>79</v>
      </c>
      <c r="E60" s="186"/>
      <c r="F60" s="186" t="s">
        <v>80</v>
      </c>
      <c r="G60" s="187">
        <v>0</v>
      </c>
      <c r="H60" s="187">
        <v>0</v>
      </c>
      <c r="I60" s="187">
        <v>0</v>
      </c>
      <c r="J60" s="46">
        <v>250000</v>
      </c>
      <c r="K60" s="46">
        <v>0</v>
      </c>
      <c r="L60" s="46">
        <v>0</v>
      </c>
      <c r="M60" s="46"/>
      <c r="N60" s="46">
        <v>0</v>
      </c>
      <c r="O60" s="188">
        <f t="shared" ref="O60:O65" si="4">SUM(M60:N60)</f>
        <v>0</v>
      </c>
      <c r="P60" s="47">
        <f>K60+L60+N60</f>
        <v>0</v>
      </c>
    </row>
    <row r="61" spans="1:21" ht="104.25" customHeight="1" thickBot="1" x14ac:dyDescent="0.3">
      <c r="A61" s="189">
        <v>1</v>
      </c>
      <c r="B61" s="52" t="s">
        <v>81</v>
      </c>
      <c r="C61" s="104" t="s">
        <v>82</v>
      </c>
      <c r="D61" s="40" t="s">
        <v>83</v>
      </c>
      <c r="E61" s="190">
        <v>45723</v>
      </c>
      <c r="F61" s="52" t="s">
        <v>84</v>
      </c>
      <c r="G61" s="49">
        <v>8</v>
      </c>
      <c r="H61" s="49"/>
      <c r="I61" s="49"/>
      <c r="J61" s="50"/>
      <c r="K61" s="136">
        <v>4100</v>
      </c>
      <c r="L61" s="136">
        <v>4672.5</v>
      </c>
      <c r="M61" s="136"/>
      <c r="N61" s="136">
        <v>21372.5</v>
      </c>
      <c r="O61" s="191">
        <f>SUM(M61:N61)</f>
        <v>21372.5</v>
      </c>
      <c r="P61" s="47"/>
    </row>
    <row r="62" spans="1:21" ht="132.75" customHeight="1" thickBot="1" x14ac:dyDescent="0.3">
      <c r="A62" s="189">
        <v>1</v>
      </c>
      <c r="B62" s="40" t="s">
        <v>77</v>
      </c>
      <c r="C62" s="192" t="s">
        <v>85</v>
      </c>
      <c r="D62" s="40" t="s">
        <v>83</v>
      </c>
      <c r="E62" s="193">
        <v>45736</v>
      </c>
      <c r="F62" s="40" t="s">
        <v>80</v>
      </c>
      <c r="G62" s="194">
        <v>8</v>
      </c>
      <c r="H62" s="194">
        <v>8</v>
      </c>
      <c r="I62" s="194">
        <v>3</v>
      </c>
      <c r="J62" s="50"/>
      <c r="K62" s="136">
        <v>5000</v>
      </c>
      <c r="L62" s="136">
        <v>4672.5</v>
      </c>
      <c r="M62" s="136"/>
      <c r="N62" s="136">
        <v>22400</v>
      </c>
      <c r="O62" s="191">
        <f>SUM(M62:N62)</f>
        <v>22400</v>
      </c>
      <c r="P62" s="47"/>
    </row>
    <row r="63" spans="1:21" ht="51" hidden="1" customHeight="1" x14ac:dyDescent="0.25">
      <c r="A63" s="189"/>
      <c r="B63" s="40" t="s">
        <v>77</v>
      </c>
      <c r="C63" s="40" t="s">
        <v>86</v>
      </c>
      <c r="D63" s="40" t="s">
        <v>79</v>
      </c>
      <c r="E63" s="40"/>
      <c r="F63" s="40" t="s">
        <v>87</v>
      </c>
      <c r="G63" s="194">
        <v>0</v>
      </c>
      <c r="H63" s="194">
        <v>0</v>
      </c>
      <c r="I63" s="194">
        <v>0</v>
      </c>
      <c r="J63" s="50"/>
      <c r="K63" s="50">
        <v>0</v>
      </c>
      <c r="L63" s="50">
        <v>0</v>
      </c>
      <c r="M63" s="50"/>
      <c r="N63" s="50">
        <v>0</v>
      </c>
      <c r="O63" s="195">
        <f t="shared" si="4"/>
        <v>0</v>
      </c>
      <c r="P63" s="47">
        <f>K63+L63+N63</f>
        <v>0</v>
      </c>
      <c r="R63" s="47" t="e">
        <f>P63+#REF!</f>
        <v>#REF!</v>
      </c>
      <c r="S63" s="2">
        <v>6662.5</v>
      </c>
      <c r="T63" s="2">
        <f>13125/2</f>
        <v>6562.5</v>
      </c>
      <c r="U63" s="2">
        <f>T63*2</f>
        <v>13125</v>
      </c>
    </row>
    <row r="64" spans="1:21" ht="57.75" hidden="1" customHeight="1" x14ac:dyDescent="0.25">
      <c r="A64" s="189"/>
      <c r="B64" s="40" t="s">
        <v>88</v>
      </c>
      <c r="C64" s="40" t="s">
        <v>89</v>
      </c>
      <c r="D64" s="40" t="s">
        <v>79</v>
      </c>
      <c r="E64" s="193"/>
      <c r="F64" s="40" t="s">
        <v>90</v>
      </c>
      <c r="G64" s="194">
        <v>0</v>
      </c>
      <c r="H64" s="194"/>
      <c r="I64" s="194"/>
      <c r="J64" s="51">
        <v>370000</v>
      </c>
      <c r="K64" s="51">
        <v>0</v>
      </c>
      <c r="L64" s="51">
        <v>0</v>
      </c>
      <c r="M64" s="51"/>
      <c r="N64" s="51">
        <v>0</v>
      </c>
      <c r="O64" s="196">
        <f t="shared" si="4"/>
        <v>0</v>
      </c>
      <c r="P64" s="47">
        <f t="shared" ref="P64:P65" si="5">K64+L64+N64</f>
        <v>0</v>
      </c>
    </row>
    <row r="65" spans="1:21" ht="79.5" hidden="1" thickBot="1" x14ac:dyDescent="0.3">
      <c r="A65" s="189"/>
      <c r="B65" s="197" t="s">
        <v>81</v>
      </c>
      <c r="C65" s="197" t="s">
        <v>91</v>
      </c>
      <c r="D65" s="197" t="s">
        <v>79</v>
      </c>
      <c r="E65" s="198"/>
      <c r="F65" s="197" t="s">
        <v>92</v>
      </c>
      <c r="G65" s="199">
        <v>0</v>
      </c>
      <c r="H65" s="199"/>
      <c r="I65" s="199"/>
      <c r="J65" s="200"/>
      <c r="K65" s="200">
        <v>0</v>
      </c>
      <c r="L65" s="200">
        <v>0</v>
      </c>
      <c r="M65" s="200"/>
      <c r="N65" s="200">
        <v>0</v>
      </c>
      <c r="O65" s="201">
        <f t="shared" si="4"/>
        <v>0</v>
      </c>
      <c r="P65" s="47">
        <f t="shared" si="5"/>
        <v>0</v>
      </c>
    </row>
    <row r="66" spans="1:21" ht="18.75" customHeight="1" thickBot="1" x14ac:dyDescent="0.3">
      <c r="A66" s="58">
        <f>SUM(A60:A65)</f>
        <v>2</v>
      </c>
      <c r="B66" s="59" t="s">
        <v>40</v>
      </c>
      <c r="C66" s="59"/>
      <c r="D66" s="59"/>
      <c r="E66" s="59"/>
      <c r="F66" s="59"/>
      <c r="G66" s="202">
        <f t="shared" ref="G66:O66" si="6">SUM(G60:G65)</f>
        <v>16</v>
      </c>
      <c r="H66" s="202">
        <f t="shared" si="6"/>
        <v>8</v>
      </c>
      <c r="I66" s="202">
        <f t="shared" si="6"/>
        <v>3</v>
      </c>
      <c r="J66" s="202">
        <f t="shared" si="6"/>
        <v>620000</v>
      </c>
      <c r="K66" s="202">
        <f t="shared" si="6"/>
        <v>9100</v>
      </c>
      <c r="L66" s="202">
        <f t="shared" si="6"/>
        <v>9345</v>
      </c>
      <c r="M66" s="202">
        <f t="shared" si="6"/>
        <v>0</v>
      </c>
      <c r="N66" s="202">
        <f t="shared" si="6"/>
        <v>43772.5</v>
      </c>
      <c r="O66" s="202">
        <f t="shared" si="6"/>
        <v>43772.5</v>
      </c>
      <c r="P66" s="47"/>
    </row>
    <row r="67" spans="1:21" ht="15" customHeight="1" thickBot="1" x14ac:dyDescent="0.3">
      <c r="A67" s="62" t="s">
        <v>41</v>
      </c>
      <c r="B67" s="63"/>
      <c r="C67" s="63"/>
      <c r="D67" s="63"/>
      <c r="E67" s="63"/>
      <c r="F67" s="63"/>
      <c r="G67" s="64"/>
      <c r="H67" s="203"/>
      <c r="I67" s="203"/>
      <c r="J67" s="204"/>
      <c r="K67" s="204"/>
      <c r="L67" s="204"/>
      <c r="M67" s="205">
        <v>0</v>
      </c>
      <c r="N67" s="205">
        <f>N66*-0.1</f>
        <v>-4377.25</v>
      </c>
      <c r="O67" s="205">
        <f>N67</f>
        <v>-4377.25</v>
      </c>
      <c r="P67" s="47"/>
    </row>
    <row r="68" spans="1:21" ht="17.25" customHeight="1" thickBot="1" x14ac:dyDescent="0.3">
      <c r="A68" s="68" t="s">
        <v>42</v>
      </c>
      <c r="B68" s="69"/>
      <c r="C68" s="69"/>
      <c r="D68" s="69"/>
      <c r="E68" s="69"/>
      <c r="F68" s="69"/>
      <c r="G68" s="70"/>
      <c r="H68" s="206"/>
      <c r="I68" s="206"/>
      <c r="J68" s="207"/>
      <c r="K68" s="207"/>
      <c r="L68" s="207"/>
      <c r="M68" s="205">
        <f>SUM(M66:M67)</f>
        <v>0</v>
      </c>
      <c r="N68" s="205">
        <f>N66 +(N67)</f>
        <v>39395.25</v>
      </c>
      <c r="O68" s="205">
        <f>O67+O66</f>
        <v>39395.25</v>
      </c>
    </row>
    <row r="69" spans="1:21" ht="17.25" customHeight="1" x14ac:dyDescent="0.25">
      <c r="A69" s="208"/>
      <c r="B69" s="208"/>
      <c r="C69" s="208"/>
      <c r="D69" s="208"/>
      <c r="E69" s="208"/>
      <c r="F69" s="208"/>
      <c r="G69" s="208"/>
      <c r="H69" s="209"/>
      <c r="I69" s="209"/>
      <c r="J69" s="210"/>
      <c r="K69" s="210"/>
      <c r="L69" s="210"/>
      <c r="M69" s="211"/>
      <c r="N69" s="211"/>
      <c r="O69" s="211"/>
      <c r="P69" s="212"/>
      <c r="Q69" s="212"/>
      <c r="R69" s="212"/>
      <c r="S69" s="212"/>
      <c r="T69" s="212"/>
      <c r="U69" s="212"/>
    </row>
    <row r="70" spans="1:21" ht="17.25" customHeight="1" thickBot="1" x14ac:dyDescent="0.3">
      <c r="A70" s="213"/>
      <c r="B70" s="213"/>
      <c r="C70" s="213"/>
      <c r="D70" s="213"/>
      <c r="E70" s="213"/>
      <c r="F70" s="213"/>
      <c r="G70" s="213"/>
      <c r="H70" s="209"/>
      <c r="I70" s="214"/>
      <c r="J70" s="214"/>
      <c r="K70" s="214"/>
      <c r="L70" s="214"/>
      <c r="M70" s="214"/>
      <c r="N70" s="214"/>
      <c r="O70" s="211"/>
      <c r="P70" s="215"/>
      <c r="Q70" s="215"/>
      <c r="R70" s="215"/>
      <c r="S70" s="215"/>
      <c r="T70" s="215"/>
      <c r="U70" s="215"/>
    </row>
    <row r="71" spans="1:21" ht="17.25" customHeight="1" thickBot="1" x14ac:dyDescent="0.3">
      <c r="A71" s="68" t="s">
        <v>93</v>
      </c>
      <c r="B71" s="69"/>
      <c r="C71" s="69"/>
      <c r="D71" s="69"/>
      <c r="E71" s="69"/>
      <c r="F71" s="69"/>
      <c r="G71" s="70"/>
      <c r="H71" s="209"/>
      <c r="I71" s="216" t="s">
        <v>94</v>
      </c>
      <c r="J71" s="217"/>
      <c r="K71" s="217"/>
      <c r="L71" s="217"/>
      <c r="M71" s="217"/>
      <c r="N71" s="218"/>
      <c r="O71" s="211"/>
      <c r="P71" s="219" t="s">
        <v>95</v>
      </c>
      <c r="Q71" s="220"/>
      <c r="R71" s="220"/>
      <c r="S71" s="220"/>
      <c r="T71" s="220"/>
      <c r="U71" s="221"/>
    </row>
    <row r="72" spans="1:21" ht="48" customHeight="1" thickBot="1" x14ac:dyDescent="0.3">
      <c r="A72" s="222" t="s">
        <v>96</v>
      </c>
      <c r="B72" s="223"/>
      <c r="C72" s="224"/>
      <c r="D72" s="16" t="s">
        <v>97</v>
      </c>
      <c r="E72" s="16"/>
      <c r="F72" s="16" t="s">
        <v>98</v>
      </c>
      <c r="G72" s="16"/>
      <c r="H72" s="209"/>
      <c r="I72" s="225" t="s">
        <v>99</v>
      </c>
      <c r="J72" s="226" t="s">
        <v>100</v>
      </c>
      <c r="K72" s="227" t="s">
        <v>101</v>
      </c>
      <c r="L72" s="227" t="s">
        <v>102</v>
      </c>
      <c r="M72" s="228" t="s">
        <v>103</v>
      </c>
      <c r="N72" s="229" t="s">
        <v>64</v>
      </c>
      <c r="O72" s="211"/>
      <c r="P72" s="225" t="s">
        <v>99</v>
      </c>
      <c r="Q72" s="226" t="s">
        <v>100</v>
      </c>
      <c r="R72" s="227" t="s">
        <v>101</v>
      </c>
      <c r="S72" s="227" t="s">
        <v>102</v>
      </c>
      <c r="T72" s="228" t="s">
        <v>103</v>
      </c>
      <c r="U72" s="229" t="s">
        <v>64</v>
      </c>
    </row>
    <row r="73" spans="1:21" ht="27.75" customHeight="1" thickBot="1" x14ac:dyDescent="0.3">
      <c r="A73" s="13" t="s">
        <v>104</v>
      </c>
      <c r="B73" s="14"/>
      <c r="C73" s="15"/>
      <c r="D73" s="230">
        <v>514748</v>
      </c>
      <c r="E73" s="231"/>
      <c r="F73" s="230">
        <f>F81</f>
        <v>155135.25</v>
      </c>
      <c r="G73" s="231"/>
      <c r="H73" s="209"/>
      <c r="I73" s="232" t="s">
        <v>24</v>
      </c>
      <c r="J73" s="233">
        <f>L23</f>
        <v>45000</v>
      </c>
      <c r="K73" s="233">
        <f>L49</f>
        <v>5650</v>
      </c>
      <c r="L73" s="233">
        <f>L38</f>
        <v>82600</v>
      </c>
      <c r="M73" s="234">
        <f>L66</f>
        <v>9345</v>
      </c>
      <c r="N73" s="235">
        <f>SUM(J73:M73)</f>
        <v>142595</v>
      </c>
      <c r="O73" s="236"/>
      <c r="P73" s="237" t="s">
        <v>24</v>
      </c>
      <c r="Q73" s="233">
        <v>33500</v>
      </c>
      <c r="R73" s="233">
        <v>14100</v>
      </c>
      <c r="S73" s="233">
        <v>106200</v>
      </c>
      <c r="T73" s="234">
        <v>28304</v>
      </c>
      <c r="U73" s="235">
        <v>182104</v>
      </c>
    </row>
    <row r="74" spans="1:21" ht="20.100000000000001" customHeight="1" thickBot="1" x14ac:dyDescent="0.3">
      <c r="A74" s="13" t="s">
        <v>105</v>
      </c>
      <c r="B74" s="14"/>
      <c r="C74" s="15"/>
      <c r="D74" s="230">
        <v>4</v>
      </c>
      <c r="E74" s="231"/>
      <c r="F74" s="68">
        <f>A62+A46+A36+A36</f>
        <v>4</v>
      </c>
      <c r="G74" s="70"/>
      <c r="H74" s="238"/>
      <c r="I74" s="239" t="s">
        <v>106</v>
      </c>
      <c r="J74" s="240">
        <f>K23</f>
        <v>14600</v>
      </c>
      <c r="K74" s="233">
        <f>K49</f>
        <v>10350</v>
      </c>
      <c r="L74" s="240">
        <f>K38</f>
        <v>16800</v>
      </c>
      <c r="M74" s="241">
        <f>K66</f>
        <v>9100</v>
      </c>
      <c r="N74" s="242">
        <f t="shared" ref="N74:N76" si="7">SUM(J74:M74)</f>
        <v>50850</v>
      </c>
      <c r="O74" s="236"/>
      <c r="P74" s="243" t="s">
        <v>106</v>
      </c>
      <c r="Q74" s="244">
        <v>14900</v>
      </c>
      <c r="R74" s="233">
        <v>10600</v>
      </c>
      <c r="S74" s="244">
        <v>33200</v>
      </c>
      <c r="T74" s="245">
        <v>11000</v>
      </c>
      <c r="U74" s="242">
        <v>69700</v>
      </c>
    </row>
    <row r="75" spans="1:21" ht="31.5" customHeight="1" thickBot="1" x14ac:dyDescent="0.3">
      <c r="A75" s="13" t="s">
        <v>107</v>
      </c>
      <c r="B75" s="14"/>
      <c r="C75" s="15"/>
      <c r="D75" s="216">
        <v>12</v>
      </c>
      <c r="E75" s="218"/>
      <c r="F75" s="59">
        <f>(A66+A49+A38+A23)</f>
        <v>10</v>
      </c>
      <c r="G75" s="59"/>
      <c r="H75" s="238"/>
      <c r="I75" s="246" t="s">
        <v>108</v>
      </c>
      <c r="J75" s="247">
        <f>O25</f>
        <v>48960</v>
      </c>
      <c r="K75" s="247">
        <f>O51</f>
        <v>30780</v>
      </c>
      <c r="L75" s="247">
        <f>O40</f>
        <v>36000</v>
      </c>
      <c r="M75" s="248">
        <f>O68</f>
        <v>39395.25</v>
      </c>
      <c r="N75" s="249">
        <f>SUM(J75:M75)</f>
        <v>155135.25</v>
      </c>
      <c r="O75" s="236"/>
      <c r="P75" s="250" t="s">
        <v>108</v>
      </c>
      <c r="Q75" s="251">
        <v>184788</v>
      </c>
      <c r="R75" s="251">
        <v>74160</v>
      </c>
      <c r="S75" s="251">
        <v>187940</v>
      </c>
      <c r="T75" s="252">
        <v>67860</v>
      </c>
      <c r="U75" s="242">
        <v>514748</v>
      </c>
    </row>
    <row r="76" spans="1:21" ht="20.100000000000001" customHeight="1" thickBot="1" x14ac:dyDescent="0.3">
      <c r="A76" s="13" t="s">
        <v>109</v>
      </c>
      <c r="B76" s="14"/>
      <c r="C76" s="15"/>
      <c r="D76" s="216">
        <v>89</v>
      </c>
      <c r="E76" s="218"/>
      <c r="F76" s="59">
        <f>(H23+I23)+(H38+I38)+(H49+I49)+(H66+I66)</f>
        <v>118</v>
      </c>
      <c r="G76" s="59"/>
      <c r="H76" s="183"/>
      <c r="I76" s="253" t="s">
        <v>64</v>
      </c>
      <c r="J76" s="254">
        <f>SUM(J73:J75)</f>
        <v>108560</v>
      </c>
      <c r="K76" s="254">
        <f>SUM(K73:K75)</f>
        <v>46780</v>
      </c>
      <c r="L76" s="254">
        <f>SUM(L73:L75)</f>
        <v>135400</v>
      </c>
      <c r="M76" s="255">
        <f>SUM(M73:M75)</f>
        <v>57840.25</v>
      </c>
      <c r="N76" s="256">
        <f t="shared" si="7"/>
        <v>348580.25</v>
      </c>
      <c r="O76" s="184"/>
      <c r="P76" s="253" t="s">
        <v>64</v>
      </c>
      <c r="Q76" s="254">
        <v>233188</v>
      </c>
      <c r="R76" s="254">
        <v>98860</v>
      </c>
      <c r="S76" s="254">
        <v>327340</v>
      </c>
      <c r="T76" s="255">
        <v>107164</v>
      </c>
      <c r="U76" s="256">
        <v>766552</v>
      </c>
    </row>
    <row r="77" spans="1:21" ht="20.100000000000001" customHeight="1" thickBot="1" x14ac:dyDescent="0.3">
      <c r="A77" s="13" t="s">
        <v>110</v>
      </c>
      <c r="B77" s="14"/>
      <c r="C77" s="15"/>
      <c r="D77" s="257">
        <v>144</v>
      </c>
      <c r="E77" s="258"/>
      <c r="F77" s="259">
        <f>G23+G38+G49+G66</f>
        <v>160</v>
      </c>
      <c r="G77" s="59"/>
      <c r="H77" s="183"/>
      <c r="I77" s="260" t="s">
        <v>111</v>
      </c>
      <c r="J77" s="261"/>
      <c r="K77" s="261"/>
      <c r="L77" s="261"/>
      <c r="M77" s="261"/>
      <c r="N77" s="262"/>
      <c r="O77" s="184"/>
      <c r="P77" s="219" t="s">
        <v>112</v>
      </c>
      <c r="Q77" s="220"/>
      <c r="R77" s="220"/>
      <c r="S77" s="220"/>
      <c r="T77" s="220"/>
      <c r="U77" s="221"/>
    </row>
    <row r="78" spans="1:21" ht="31.5" customHeight="1" thickBot="1" x14ac:dyDescent="0.3">
      <c r="A78" s="263" t="s">
        <v>113</v>
      </c>
      <c r="B78" s="264"/>
      <c r="C78" s="265"/>
      <c r="D78" s="230">
        <v>273188</v>
      </c>
      <c r="E78" s="231"/>
      <c r="F78" s="266">
        <f>M66+M49+M38+M23</f>
        <v>0</v>
      </c>
      <c r="G78" s="266"/>
      <c r="H78" s="238"/>
      <c r="I78" s="225" t="s">
        <v>99</v>
      </c>
      <c r="J78" s="226" t="s">
        <v>100</v>
      </c>
      <c r="K78" s="227" t="s">
        <v>101</v>
      </c>
      <c r="L78" s="227" t="s">
        <v>102</v>
      </c>
      <c r="M78" s="267" t="s">
        <v>103</v>
      </c>
      <c r="N78" s="229" t="s">
        <v>64</v>
      </c>
      <c r="O78" s="184"/>
      <c r="P78" s="225" t="s">
        <v>99</v>
      </c>
      <c r="Q78" s="226" t="s">
        <v>100</v>
      </c>
      <c r="R78" s="227" t="s">
        <v>101</v>
      </c>
      <c r="S78" s="227" t="s">
        <v>102</v>
      </c>
      <c r="T78" s="268" t="s">
        <v>103</v>
      </c>
      <c r="U78" s="229" t="s">
        <v>64</v>
      </c>
    </row>
    <row r="79" spans="1:21" ht="20.100000000000001" customHeight="1" thickBot="1" x14ac:dyDescent="0.3">
      <c r="A79" s="263" t="s">
        <v>114</v>
      </c>
      <c r="B79" s="264"/>
      <c r="C79" s="265"/>
      <c r="D79" s="230">
        <v>268400</v>
      </c>
      <c r="E79" s="231"/>
      <c r="F79" s="266">
        <f>N23+N38+N66+N49</f>
        <v>172372.5</v>
      </c>
      <c r="G79" s="266"/>
      <c r="H79" s="238"/>
      <c r="I79" s="237" t="s">
        <v>24</v>
      </c>
      <c r="J79" s="269">
        <f t="shared" ref="J79:N82" si="8">J73/Q73</f>
        <v>1.3432835820895523</v>
      </c>
      <c r="K79" s="269">
        <f t="shared" si="8"/>
        <v>0.40070921985815605</v>
      </c>
      <c r="L79" s="269">
        <f t="shared" si="8"/>
        <v>0.77777777777777779</v>
      </c>
      <c r="M79" s="270">
        <f>M73/T73</f>
        <v>0.33016534765404182</v>
      </c>
      <c r="N79" s="271">
        <f t="shared" si="8"/>
        <v>0.7830415586697711</v>
      </c>
      <c r="O79" s="184"/>
      <c r="P79" s="272" t="s">
        <v>105</v>
      </c>
      <c r="Q79" s="273">
        <v>2</v>
      </c>
      <c r="R79" s="274">
        <v>0</v>
      </c>
      <c r="S79" s="274">
        <v>1</v>
      </c>
      <c r="T79" s="275">
        <v>1</v>
      </c>
      <c r="U79" s="276">
        <v>4</v>
      </c>
    </row>
    <row r="80" spans="1:21" ht="20.100000000000001" customHeight="1" thickBot="1" x14ac:dyDescent="0.3">
      <c r="A80" s="263" t="s">
        <v>115</v>
      </c>
      <c r="B80" s="264"/>
      <c r="C80" s="265"/>
      <c r="D80" s="230">
        <v>-26840</v>
      </c>
      <c r="E80" s="231"/>
      <c r="F80" s="266">
        <f>(N67+N50+N39+N24)</f>
        <v>-17237.25</v>
      </c>
      <c r="G80" s="266"/>
      <c r="H80" s="238"/>
      <c r="I80" s="239" t="s">
        <v>106</v>
      </c>
      <c r="J80" s="269">
        <f t="shared" si="8"/>
        <v>0.97986577181208057</v>
      </c>
      <c r="K80" s="269">
        <f t="shared" si="8"/>
        <v>0.97641509433962259</v>
      </c>
      <c r="L80" s="269">
        <f t="shared" si="8"/>
        <v>0.50602409638554213</v>
      </c>
      <c r="M80" s="270">
        <f t="shared" si="8"/>
        <v>0.82727272727272727</v>
      </c>
      <c r="N80" s="271">
        <f t="shared" si="8"/>
        <v>0.72955523672883793</v>
      </c>
      <c r="O80" s="184"/>
      <c r="P80" s="277" t="s">
        <v>116</v>
      </c>
      <c r="Q80" s="278">
        <v>4</v>
      </c>
      <c r="R80" s="274">
        <v>3</v>
      </c>
      <c r="S80" s="279">
        <v>3</v>
      </c>
      <c r="T80" s="280">
        <v>2</v>
      </c>
      <c r="U80" s="276">
        <v>12</v>
      </c>
    </row>
    <row r="81" spans="1:22" ht="20.100000000000001" customHeight="1" thickBot="1" x14ac:dyDescent="0.3">
      <c r="A81" s="281" t="s">
        <v>117</v>
      </c>
      <c r="B81" s="282"/>
      <c r="C81" s="283"/>
      <c r="D81" s="284">
        <v>514748</v>
      </c>
      <c r="E81" s="285"/>
      <c r="F81" s="286">
        <f>F78+F79+F80</f>
        <v>155135.25</v>
      </c>
      <c r="G81" s="286"/>
      <c r="H81" s="287"/>
      <c r="I81" s="250" t="s">
        <v>108</v>
      </c>
      <c r="J81" s="269">
        <f t="shared" si="8"/>
        <v>0.26495226962789792</v>
      </c>
      <c r="K81" s="269">
        <f t="shared" si="8"/>
        <v>0.41504854368932037</v>
      </c>
      <c r="L81" s="269">
        <f t="shared" si="8"/>
        <v>0.19155049483877834</v>
      </c>
      <c r="M81" s="270">
        <f t="shared" si="8"/>
        <v>0.58053713527851458</v>
      </c>
      <c r="N81" s="271">
        <f t="shared" si="8"/>
        <v>0.30138096699744343</v>
      </c>
      <c r="O81" s="184"/>
      <c r="P81" s="250" t="s">
        <v>118</v>
      </c>
      <c r="Q81" s="278">
        <v>32</v>
      </c>
      <c r="R81" s="274">
        <v>12</v>
      </c>
      <c r="S81" s="279">
        <v>40</v>
      </c>
      <c r="T81" s="280">
        <v>5</v>
      </c>
      <c r="U81" s="276">
        <v>89</v>
      </c>
    </row>
    <row r="82" spans="1:22" ht="20.100000000000001" customHeight="1" thickBot="1" x14ac:dyDescent="0.3">
      <c r="A82" s="288"/>
      <c r="B82" s="288"/>
      <c r="C82" s="288"/>
      <c r="D82" s="288"/>
      <c r="E82" s="288"/>
      <c r="F82" s="288"/>
      <c r="G82" s="287"/>
      <c r="H82" s="287"/>
      <c r="I82" s="253" t="s">
        <v>64</v>
      </c>
      <c r="J82" s="289">
        <f t="shared" si="8"/>
        <v>0.46554711220131395</v>
      </c>
      <c r="K82" s="289">
        <f t="shared" si="8"/>
        <v>0.47319441634634835</v>
      </c>
      <c r="L82" s="289">
        <f t="shared" si="8"/>
        <v>0.41363719679843586</v>
      </c>
      <c r="M82" s="290">
        <f t="shared" si="8"/>
        <v>0.53973582546377519</v>
      </c>
      <c r="N82" s="291">
        <f t="shared" si="8"/>
        <v>0.45473790427785721</v>
      </c>
      <c r="O82" s="288"/>
      <c r="P82" s="250" t="s">
        <v>119</v>
      </c>
      <c r="Q82" s="278">
        <v>32</v>
      </c>
      <c r="R82" s="274">
        <v>24</v>
      </c>
      <c r="S82" s="279">
        <v>56</v>
      </c>
      <c r="T82" s="280">
        <v>32</v>
      </c>
      <c r="U82" s="276">
        <v>144</v>
      </c>
    </row>
    <row r="83" spans="1:22" ht="16.5" thickBot="1" x14ac:dyDescent="0.3">
      <c r="A83" s="288"/>
      <c r="B83" s="292"/>
      <c r="C83" s="292"/>
      <c r="D83" s="292"/>
      <c r="E83" s="293"/>
      <c r="F83" s="294"/>
      <c r="G83" s="294"/>
      <c r="I83" s="288"/>
      <c r="J83" s="288"/>
      <c r="K83" s="288"/>
      <c r="L83" s="288"/>
      <c r="M83" s="288"/>
      <c r="N83" s="288"/>
      <c r="O83" s="288"/>
      <c r="P83" s="250" t="s">
        <v>120</v>
      </c>
      <c r="Q83" s="295">
        <v>145188</v>
      </c>
      <c r="R83" s="274">
        <v>0</v>
      </c>
      <c r="S83" s="279">
        <v>128000</v>
      </c>
      <c r="T83" s="245">
        <v>0</v>
      </c>
      <c r="U83" s="276">
        <v>273188</v>
      </c>
    </row>
    <row r="84" spans="1:22" ht="16.5" thickBot="1" x14ac:dyDescent="0.3">
      <c r="A84" s="288"/>
      <c r="E84" s="296"/>
      <c r="G84" s="297"/>
      <c r="I84" s="298" t="s">
        <v>121</v>
      </c>
      <c r="J84" s="299"/>
      <c r="K84" s="299"/>
      <c r="L84" s="299"/>
      <c r="M84" s="299"/>
      <c r="N84" s="300"/>
      <c r="O84" s="288"/>
      <c r="P84" s="250" t="s">
        <v>122</v>
      </c>
      <c r="Q84" s="301">
        <v>39600</v>
      </c>
      <c r="R84" s="302">
        <v>74160</v>
      </c>
      <c r="S84" s="302">
        <v>59940</v>
      </c>
      <c r="T84" s="303">
        <v>67860</v>
      </c>
      <c r="U84" s="276">
        <v>241560</v>
      </c>
      <c r="V84" s="47"/>
    </row>
    <row r="85" spans="1:22" ht="32.25" thickBot="1" x14ac:dyDescent="0.3">
      <c r="A85" s="288"/>
      <c r="B85" s="296" t="s">
        <v>123</v>
      </c>
      <c r="C85" s="296"/>
      <c r="D85" s="296"/>
      <c r="E85" s="294" t="s">
        <v>124</v>
      </c>
      <c r="F85" s="288"/>
      <c r="G85" s="304"/>
      <c r="I85" s="225" t="s">
        <v>99</v>
      </c>
      <c r="J85" s="226" t="s">
        <v>100</v>
      </c>
      <c r="K85" s="227" t="s">
        <v>101</v>
      </c>
      <c r="L85" s="227" t="s">
        <v>102</v>
      </c>
      <c r="M85" s="228" t="s">
        <v>103</v>
      </c>
      <c r="N85" s="229" t="s">
        <v>64</v>
      </c>
      <c r="O85" s="288"/>
      <c r="P85" s="253" t="s">
        <v>64</v>
      </c>
      <c r="Q85" s="305">
        <v>184788</v>
      </c>
      <c r="R85" s="254">
        <v>74160</v>
      </c>
      <c r="S85" s="254">
        <v>187940</v>
      </c>
      <c r="T85" s="254">
        <v>67860</v>
      </c>
      <c r="U85" s="254">
        <v>514748</v>
      </c>
    </row>
    <row r="86" spans="1:22" x14ac:dyDescent="0.25">
      <c r="A86" s="288"/>
      <c r="E86" s="296"/>
      <c r="F86" s="294"/>
      <c r="G86" s="215"/>
      <c r="H86" s="215"/>
      <c r="I86" s="272" t="s">
        <v>105</v>
      </c>
      <c r="J86" s="306">
        <f>0/Q79</f>
        <v>0</v>
      </c>
      <c r="K86" s="307" t="e">
        <f>A46/R79</f>
        <v>#DIV/0!</v>
      </c>
      <c r="L86" s="307">
        <f>A36+A36/S79</f>
        <v>2</v>
      </c>
      <c r="M86" s="308">
        <f>A62/T79</f>
        <v>1</v>
      </c>
      <c r="N86" s="309">
        <f>F74/D74</f>
        <v>1</v>
      </c>
      <c r="O86" s="288"/>
    </row>
    <row r="87" spans="1:22" x14ac:dyDescent="0.25">
      <c r="A87" s="288"/>
      <c r="E87" s="296"/>
      <c r="I87" s="277" t="s">
        <v>116</v>
      </c>
      <c r="J87" s="310">
        <f>A23/Q80</f>
        <v>0.75</v>
      </c>
      <c r="K87" s="307">
        <f>A49/R80</f>
        <v>0.66666666666666663</v>
      </c>
      <c r="L87" s="310">
        <f>A38/S80</f>
        <v>1</v>
      </c>
      <c r="M87" s="311">
        <f>A66/T80</f>
        <v>1</v>
      </c>
      <c r="N87" s="312">
        <f>F75/D75</f>
        <v>0.83333333333333337</v>
      </c>
      <c r="O87" s="288"/>
    </row>
    <row r="88" spans="1:22" ht="15.75" customHeight="1" x14ac:dyDescent="0.25">
      <c r="A88" s="288"/>
      <c r="E88" s="296"/>
      <c r="G88" s="288"/>
      <c r="H88" s="288"/>
      <c r="I88" s="250" t="s">
        <v>118</v>
      </c>
      <c r="J88" s="310">
        <f>(H23+I23)/Q81</f>
        <v>0</v>
      </c>
      <c r="K88" s="307">
        <f>H49+I49/R81</f>
        <v>44.583333333333336</v>
      </c>
      <c r="L88" s="310">
        <f>(H38+I38)/S81</f>
        <v>1.4</v>
      </c>
      <c r="M88" s="311">
        <f>(H66+I66)/T81</f>
        <v>2.2000000000000002</v>
      </c>
      <c r="N88" s="313">
        <f t="shared" ref="N88:N91" si="9">F76/D76</f>
        <v>1.3258426966292134</v>
      </c>
      <c r="O88" s="288"/>
      <c r="R88" s="314"/>
      <c r="S88" s="314"/>
    </row>
    <row r="89" spans="1:22" x14ac:dyDescent="0.25">
      <c r="A89" s="288"/>
      <c r="E89" s="296"/>
      <c r="G89" s="288"/>
      <c r="H89" s="288"/>
      <c r="I89" s="250" t="s">
        <v>119</v>
      </c>
      <c r="J89" s="310">
        <f>G23/Q82</f>
        <v>1.5</v>
      </c>
      <c r="K89" s="307">
        <f>G49/R82</f>
        <v>1</v>
      </c>
      <c r="L89" s="310">
        <f>G38/S82</f>
        <v>1.2857142857142858</v>
      </c>
      <c r="M89" s="311">
        <f>G66/T82</f>
        <v>0.5</v>
      </c>
      <c r="N89" s="312">
        <f t="shared" si="9"/>
        <v>1.1111111111111112</v>
      </c>
      <c r="O89" s="288"/>
    </row>
    <row r="90" spans="1:22" x14ac:dyDescent="0.25">
      <c r="A90" s="288"/>
      <c r="B90" s="315" t="s">
        <v>125</v>
      </c>
      <c r="C90" s="315"/>
      <c r="D90" s="315"/>
      <c r="E90" s="212" t="s">
        <v>126</v>
      </c>
      <c r="G90" s="288"/>
      <c r="H90" s="288"/>
      <c r="I90" s="250" t="s">
        <v>120</v>
      </c>
      <c r="J90" s="310">
        <f>M23/Q83</f>
        <v>0</v>
      </c>
      <c r="K90" s="307" t="e">
        <f>M49/R83</f>
        <v>#DIV/0!</v>
      </c>
      <c r="L90" s="310">
        <f>M38/S83</f>
        <v>0</v>
      </c>
      <c r="M90" s="311" t="e">
        <f>M66/T83</f>
        <v>#DIV/0!</v>
      </c>
      <c r="N90" s="312">
        <f t="shared" si="9"/>
        <v>0</v>
      </c>
      <c r="O90" s="288"/>
    </row>
    <row r="91" spans="1:22" ht="31.5" x14ac:dyDescent="0.25">
      <c r="A91" s="288"/>
      <c r="B91" s="2" t="s">
        <v>127</v>
      </c>
      <c r="E91" s="294" t="s">
        <v>128</v>
      </c>
      <c r="F91" s="212"/>
      <c r="G91" s="288"/>
      <c r="H91" s="288"/>
      <c r="I91" s="250" t="s">
        <v>129</v>
      </c>
      <c r="J91" s="316">
        <f>N25/Q84</f>
        <v>1.2363636363636363</v>
      </c>
      <c r="K91" s="316">
        <f>N51/R84</f>
        <v>0.41504854368932037</v>
      </c>
      <c r="L91" s="316">
        <f>N40/S84</f>
        <v>0.60060060060060061</v>
      </c>
      <c r="M91" s="317">
        <f>N68/T84</f>
        <v>0.58053713527851458</v>
      </c>
      <c r="N91" s="318">
        <f t="shared" si="9"/>
        <v>0.64222242921013417</v>
      </c>
      <c r="O91" s="288"/>
    </row>
    <row r="92" spans="1:22" ht="16.5" thickBot="1" x14ac:dyDescent="0.3">
      <c r="A92" s="288"/>
      <c r="B92" s="288"/>
      <c r="C92" s="288"/>
      <c r="D92" s="288"/>
      <c r="E92" s="288"/>
      <c r="F92" s="288"/>
      <c r="G92" s="288"/>
      <c r="H92" s="288"/>
      <c r="I92" s="253" t="s">
        <v>64</v>
      </c>
      <c r="J92" s="319">
        <f>J76/Q85</f>
        <v>0.58748403575989783</v>
      </c>
      <c r="K92" s="319">
        <f>O51/R85</f>
        <v>0.41504854368932037</v>
      </c>
      <c r="L92" s="319">
        <f>O40/S85</f>
        <v>0.19155049483877834</v>
      </c>
      <c r="M92" s="320">
        <f>O68/T85</f>
        <v>0.58053713527851458</v>
      </c>
      <c r="N92" s="321">
        <f>F81/U85</f>
        <v>0.30138096699744343</v>
      </c>
      <c r="O92" s="288"/>
    </row>
    <row r="93" spans="1:22" ht="16.5" thickBot="1" x14ac:dyDescent="0.3">
      <c r="A93" s="288"/>
      <c r="B93" s="322" t="s">
        <v>130</v>
      </c>
      <c r="C93" s="322"/>
      <c r="D93" s="322"/>
      <c r="E93" s="322"/>
      <c r="F93" s="322"/>
      <c r="G93" s="322"/>
      <c r="H93" s="288"/>
      <c r="I93" s="288"/>
      <c r="J93" s="288"/>
      <c r="K93" s="288"/>
      <c r="L93" s="288"/>
      <c r="M93" s="288"/>
      <c r="N93" s="288"/>
      <c r="O93" s="288"/>
    </row>
    <row r="94" spans="1:22" ht="16.5" thickBot="1" x14ac:dyDescent="0.3">
      <c r="A94" s="288"/>
      <c r="B94" s="322"/>
      <c r="C94" s="322"/>
      <c r="D94" s="322"/>
      <c r="E94" s="322"/>
      <c r="F94" s="322"/>
      <c r="G94" s="322"/>
      <c r="H94" s="288"/>
      <c r="I94" s="219" t="s">
        <v>95</v>
      </c>
      <c r="J94" s="220"/>
      <c r="K94" s="220"/>
      <c r="L94" s="220"/>
      <c r="M94" s="220"/>
      <c r="N94" s="221"/>
    </row>
    <row r="95" spans="1:22" ht="32.25" thickBot="1" x14ac:dyDescent="0.3">
      <c r="A95" s="288"/>
      <c r="B95" s="288"/>
      <c r="C95" s="288"/>
      <c r="D95" s="288"/>
      <c r="E95" s="288"/>
      <c r="F95" s="288"/>
      <c r="G95" s="288"/>
      <c r="H95" s="288"/>
      <c r="I95" s="225" t="s">
        <v>99</v>
      </c>
      <c r="J95" s="226" t="s">
        <v>100</v>
      </c>
      <c r="K95" s="227" t="s">
        <v>101</v>
      </c>
      <c r="L95" s="227" t="s">
        <v>102</v>
      </c>
      <c r="M95" s="228" t="s">
        <v>103</v>
      </c>
      <c r="N95" s="229" t="s">
        <v>64</v>
      </c>
    </row>
    <row r="96" spans="1:22" x14ac:dyDescent="0.25">
      <c r="A96" s="288"/>
      <c r="B96" s="288"/>
      <c r="C96" s="288"/>
      <c r="D96" s="288"/>
      <c r="E96" s="288"/>
      <c r="F96" s="288"/>
      <c r="G96" s="288"/>
      <c r="H96" s="288"/>
      <c r="I96" s="237" t="s">
        <v>24</v>
      </c>
      <c r="J96" s="233">
        <v>33500</v>
      </c>
      <c r="K96" s="233">
        <v>14100</v>
      </c>
      <c r="L96" s="233">
        <v>106200</v>
      </c>
      <c r="M96" s="234">
        <v>28304</v>
      </c>
      <c r="N96" s="235">
        <v>182104</v>
      </c>
    </row>
    <row r="97" spans="1:15" x14ac:dyDescent="0.25">
      <c r="A97" s="288"/>
      <c r="B97" s="288"/>
      <c r="C97" s="288"/>
      <c r="D97" s="288"/>
      <c r="E97" s="288"/>
      <c r="F97" s="288"/>
      <c r="G97" s="288"/>
      <c r="H97" s="288"/>
      <c r="I97" s="243" t="s">
        <v>106</v>
      </c>
      <c r="J97" s="244">
        <v>14900</v>
      </c>
      <c r="K97" s="233">
        <v>10600</v>
      </c>
      <c r="L97" s="244">
        <v>33200</v>
      </c>
      <c r="M97" s="245">
        <v>11000</v>
      </c>
      <c r="N97" s="242">
        <v>69700</v>
      </c>
    </row>
    <row r="98" spans="1:15" x14ac:dyDescent="0.25">
      <c r="A98" s="288"/>
      <c r="B98" s="288"/>
      <c r="C98" s="288"/>
      <c r="D98" s="288"/>
      <c r="E98" s="288"/>
      <c r="F98" s="288"/>
      <c r="G98" s="288"/>
      <c r="H98" s="288"/>
      <c r="I98" s="250" t="s">
        <v>108</v>
      </c>
      <c r="J98" s="251">
        <v>184788</v>
      </c>
      <c r="K98" s="251">
        <v>74160</v>
      </c>
      <c r="L98" s="251">
        <v>187940</v>
      </c>
      <c r="M98" s="252">
        <v>67860</v>
      </c>
      <c r="N98" s="242">
        <v>514748</v>
      </c>
    </row>
    <row r="99" spans="1:15" ht="16.5" thickBot="1" x14ac:dyDescent="0.3">
      <c r="A99" s="288"/>
      <c r="B99" s="288"/>
      <c r="C99" s="288"/>
      <c r="D99" s="288"/>
      <c r="E99" s="288"/>
      <c r="F99" s="288"/>
      <c r="G99" s="288"/>
      <c r="H99" s="288"/>
      <c r="I99" s="253" t="s">
        <v>64</v>
      </c>
      <c r="J99" s="254">
        <v>233188</v>
      </c>
      <c r="K99" s="254">
        <v>98860</v>
      </c>
      <c r="L99" s="254">
        <v>327340</v>
      </c>
      <c r="M99" s="255">
        <v>107164</v>
      </c>
      <c r="N99" s="256">
        <v>766552</v>
      </c>
    </row>
    <row r="100" spans="1:15" ht="16.5" thickBot="1" x14ac:dyDescent="0.3">
      <c r="A100" s="288"/>
      <c r="B100" s="288"/>
      <c r="C100" s="288"/>
      <c r="D100" s="288"/>
      <c r="E100" s="288"/>
      <c r="F100" s="288"/>
      <c r="G100" s="288"/>
      <c r="H100" s="288"/>
      <c r="I100" s="219" t="s">
        <v>112</v>
      </c>
      <c r="J100" s="220"/>
      <c r="K100" s="220"/>
      <c r="L100" s="220"/>
      <c r="M100" s="220"/>
      <c r="N100" s="221"/>
    </row>
    <row r="101" spans="1:15" ht="32.25" thickBot="1" x14ac:dyDescent="0.3">
      <c r="A101" s="288"/>
      <c r="B101" s="288"/>
      <c r="C101" s="288"/>
      <c r="D101" s="288"/>
      <c r="E101" s="288"/>
      <c r="F101" s="288"/>
      <c r="G101" s="288"/>
      <c r="H101" s="288"/>
      <c r="I101" s="225" t="s">
        <v>99</v>
      </c>
      <c r="J101" s="226" t="s">
        <v>100</v>
      </c>
      <c r="K101" s="227" t="s">
        <v>101</v>
      </c>
      <c r="L101" s="227" t="s">
        <v>102</v>
      </c>
      <c r="M101" s="268" t="s">
        <v>103</v>
      </c>
      <c r="N101" s="229" t="s">
        <v>64</v>
      </c>
    </row>
    <row r="102" spans="1:15" x14ac:dyDescent="0.25">
      <c r="A102" s="288"/>
      <c r="B102" s="288"/>
      <c r="C102" s="288"/>
      <c r="D102" s="288"/>
      <c r="E102" s="288"/>
      <c r="F102" s="288"/>
      <c r="G102" s="288"/>
      <c r="H102" s="288"/>
      <c r="I102" s="272" t="s">
        <v>105</v>
      </c>
      <c r="J102" s="273">
        <v>2</v>
      </c>
      <c r="K102" s="274">
        <v>0</v>
      </c>
      <c r="L102" s="274">
        <v>1</v>
      </c>
      <c r="M102" s="275">
        <v>1</v>
      </c>
      <c r="N102" s="276">
        <v>4</v>
      </c>
    </row>
    <row r="103" spans="1:15" x14ac:dyDescent="0.25">
      <c r="A103" s="11"/>
      <c r="B103" s="11"/>
      <c r="C103" s="11"/>
      <c r="D103" s="11"/>
      <c r="E103" s="11"/>
      <c r="F103" s="11"/>
      <c r="G103" s="11"/>
      <c r="H103" s="11"/>
      <c r="I103" s="277" t="s">
        <v>116</v>
      </c>
      <c r="J103" s="278">
        <v>4</v>
      </c>
      <c r="K103" s="274">
        <v>3</v>
      </c>
      <c r="L103" s="279">
        <v>3</v>
      </c>
      <c r="M103" s="280">
        <v>2</v>
      </c>
      <c r="N103" s="276">
        <v>12</v>
      </c>
    </row>
    <row r="104" spans="1:15" ht="31.5" x14ac:dyDescent="0.25">
      <c r="A104" s="11"/>
      <c r="B104" s="11"/>
      <c r="C104" s="11"/>
      <c r="D104" s="11"/>
      <c r="E104" s="11"/>
      <c r="F104" s="11"/>
      <c r="G104" s="11"/>
      <c r="H104" s="11"/>
      <c r="I104" s="250" t="s">
        <v>118</v>
      </c>
      <c r="J104" s="278">
        <v>32</v>
      </c>
      <c r="K104" s="274">
        <v>12</v>
      </c>
      <c r="L104" s="279">
        <v>40</v>
      </c>
      <c r="M104" s="280">
        <v>5</v>
      </c>
      <c r="N104" s="276">
        <v>89</v>
      </c>
    </row>
    <row r="105" spans="1:15" x14ac:dyDescent="0.25">
      <c r="A105" s="11"/>
      <c r="B105" s="11"/>
      <c r="C105" s="11"/>
      <c r="D105" s="11"/>
      <c r="E105" s="11"/>
      <c r="F105" s="11"/>
      <c r="G105" s="11"/>
      <c r="H105" s="11"/>
      <c r="I105" s="250" t="s">
        <v>119</v>
      </c>
      <c r="J105" s="278">
        <v>32</v>
      </c>
      <c r="K105" s="274">
        <v>24</v>
      </c>
      <c r="L105" s="279">
        <v>56</v>
      </c>
      <c r="M105" s="280">
        <v>32</v>
      </c>
      <c r="N105" s="276">
        <v>144</v>
      </c>
    </row>
    <row r="106" spans="1:15" x14ac:dyDescent="0.25">
      <c r="A106" s="11"/>
      <c r="B106" s="11"/>
      <c r="C106" s="11"/>
      <c r="D106" s="11"/>
      <c r="E106" s="11"/>
      <c r="F106" s="11"/>
      <c r="G106" s="11"/>
      <c r="H106" s="11"/>
      <c r="I106" s="250" t="s">
        <v>120</v>
      </c>
      <c r="J106" s="295">
        <v>145188</v>
      </c>
      <c r="K106" s="274">
        <v>0</v>
      </c>
      <c r="L106" s="279">
        <v>128000</v>
      </c>
      <c r="M106" s="245">
        <v>0</v>
      </c>
      <c r="N106" s="276">
        <v>273188</v>
      </c>
    </row>
    <row r="107" spans="1:15" x14ac:dyDescent="0.25">
      <c r="A107" s="11"/>
      <c r="B107" s="11"/>
      <c r="C107" s="11"/>
      <c r="D107" s="11"/>
      <c r="E107" s="11"/>
      <c r="F107" s="11"/>
      <c r="G107" s="11"/>
      <c r="H107" s="11"/>
      <c r="I107" s="250" t="s">
        <v>122</v>
      </c>
      <c r="J107" s="301">
        <v>39600</v>
      </c>
      <c r="K107" s="302">
        <v>74160</v>
      </c>
      <c r="L107" s="302">
        <v>59940</v>
      </c>
      <c r="M107" s="303">
        <v>67860</v>
      </c>
      <c r="N107" s="276">
        <v>241560</v>
      </c>
    </row>
    <row r="108" spans="1:15" ht="16.5" thickBot="1" x14ac:dyDescent="0.3">
      <c r="A108" s="11"/>
      <c r="B108" s="11"/>
      <c r="C108" s="11"/>
      <c r="D108" s="11"/>
      <c r="E108" s="11"/>
      <c r="F108" s="11"/>
      <c r="G108" s="11"/>
      <c r="H108" s="11"/>
      <c r="I108" s="253" t="s">
        <v>64</v>
      </c>
      <c r="J108" s="305">
        <v>184788</v>
      </c>
      <c r="K108" s="254">
        <v>74160</v>
      </c>
      <c r="L108" s="254">
        <v>187940</v>
      </c>
      <c r="M108" s="254">
        <v>67860</v>
      </c>
      <c r="N108" s="254">
        <v>514748</v>
      </c>
    </row>
    <row r="109" spans="1: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5">
      <c r="A133" s="11"/>
      <c r="B133" s="11"/>
      <c r="C133" s="11"/>
      <c r="D133" s="11"/>
      <c r="E133" s="11"/>
      <c r="F133" s="11"/>
      <c r="G133" s="11"/>
      <c r="H133" s="11"/>
      <c r="O133" s="11"/>
    </row>
    <row r="134" spans="1:15" x14ac:dyDescent="0.25">
      <c r="A134" s="11"/>
      <c r="B134" s="11"/>
      <c r="C134" s="11"/>
      <c r="D134" s="11"/>
      <c r="E134" s="11"/>
      <c r="F134" s="11"/>
      <c r="G134" s="11"/>
      <c r="H134" s="11"/>
      <c r="O134" s="11"/>
    </row>
    <row r="135" spans="1:15" x14ac:dyDescent="0.25">
      <c r="A135" s="11"/>
      <c r="B135" s="11"/>
      <c r="C135" s="11"/>
      <c r="D135" s="11"/>
      <c r="E135" s="11"/>
      <c r="F135" s="11"/>
      <c r="G135" s="11"/>
      <c r="H135" s="11"/>
      <c r="O135" s="11"/>
    </row>
    <row r="136" spans="1:15" x14ac:dyDescent="0.25">
      <c r="A136" s="11"/>
      <c r="B136" s="11"/>
      <c r="C136" s="11"/>
      <c r="D136" s="11"/>
      <c r="E136" s="11"/>
      <c r="F136" s="11"/>
      <c r="G136" s="11"/>
      <c r="H136" s="11"/>
      <c r="O136" s="11"/>
    </row>
    <row r="137" spans="1:15" x14ac:dyDescent="0.25">
      <c r="A137" s="11"/>
      <c r="B137" s="11"/>
      <c r="C137" s="11"/>
      <c r="D137" s="11"/>
      <c r="E137" s="11"/>
      <c r="F137" s="11"/>
      <c r="G137" s="11"/>
      <c r="H137" s="11"/>
      <c r="O137" s="11"/>
    </row>
    <row r="138" spans="1:15" x14ac:dyDescent="0.25">
      <c r="A138" s="11"/>
      <c r="B138" s="11"/>
      <c r="C138" s="11"/>
      <c r="D138" s="11"/>
      <c r="E138" s="11"/>
      <c r="F138" s="11"/>
      <c r="G138" s="11"/>
      <c r="H138" s="11"/>
      <c r="O138" s="11"/>
    </row>
    <row r="139" spans="1:15" x14ac:dyDescent="0.25">
      <c r="A139" s="11"/>
      <c r="B139" s="11"/>
      <c r="C139" s="11"/>
      <c r="D139" s="11"/>
      <c r="E139" s="11"/>
      <c r="F139" s="11"/>
      <c r="G139" s="11"/>
      <c r="H139" s="11"/>
      <c r="O139" s="11"/>
    </row>
    <row r="140" spans="1:15" x14ac:dyDescent="0.25">
      <c r="A140" s="11"/>
      <c r="B140" s="11"/>
      <c r="C140" s="11"/>
      <c r="D140" s="11"/>
      <c r="E140" s="11"/>
      <c r="F140" s="11"/>
      <c r="G140" s="11"/>
      <c r="H140" s="11"/>
      <c r="O140" s="11"/>
    </row>
    <row r="141" spans="1:15" x14ac:dyDescent="0.25">
      <c r="A141" s="11"/>
      <c r="B141" s="11"/>
      <c r="C141" s="11"/>
      <c r="D141" s="11"/>
      <c r="E141" s="11"/>
      <c r="F141" s="11"/>
      <c r="G141" s="11"/>
      <c r="H141" s="11"/>
      <c r="O141" s="11"/>
    </row>
    <row r="142" spans="1:15" x14ac:dyDescent="0.25">
      <c r="A142" s="11"/>
      <c r="B142" s="11"/>
      <c r="C142" s="11"/>
      <c r="D142" s="11"/>
      <c r="E142" s="11"/>
      <c r="F142" s="11"/>
      <c r="G142" s="11"/>
      <c r="H142" s="11"/>
      <c r="O142" s="11"/>
    </row>
    <row r="143" spans="1:15" x14ac:dyDescent="0.25">
      <c r="A143" s="11"/>
      <c r="B143" s="11"/>
      <c r="C143" s="11"/>
      <c r="D143" s="11"/>
      <c r="E143" s="11"/>
      <c r="F143" s="11"/>
      <c r="G143" s="11"/>
      <c r="H143" s="11"/>
      <c r="O143" s="11"/>
    </row>
    <row r="144" spans="1:15" x14ac:dyDescent="0.25">
      <c r="A144" s="11"/>
      <c r="B144" s="11"/>
      <c r="C144" s="11"/>
      <c r="D144" s="11"/>
      <c r="E144" s="11"/>
      <c r="F144" s="11"/>
      <c r="G144" s="11"/>
      <c r="H144" s="11"/>
      <c r="O144" s="11"/>
    </row>
    <row r="145" spans="1:15" x14ac:dyDescent="0.25">
      <c r="A145" s="11"/>
      <c r="B145" s="11"/>
      <c r="C145" s="11"/>
      <c r="D145" s="11"/>
      <c r="E145" s="11"/>
      <c r="F145" s="11"/>
      <c r="G145" s="11"/>
      <c r="H145" s="11"/>
      <c r="O145" s="11"/>
    </row>
    <row r="146" spans="1:15" x14ac:dyDescent="0.25">
      <c r="A146" s="11"/>
      <c r="B146" s="11"/>
      <c r="C146" s="11"/>
      <c r="D146" s="11"/>
      <c r="E146" s="11"/>
      <c r="F146" s="11"/>
      <c r="G146" s="11"/>
      <c r="H146" s="11"/>
      <c r="O146" s="11"/>
    </row>
    <row r="147" spans="1:15" x14ac:dyDescent="0.25">
      <c r="A147" s="11"/>
      <c r="B147" s="11"/>
      <c r="C147" s="11"/>
      <c r="D147" s="11"/>
      <c r="E147" s="11"/>
      <c r="F147" s="11"/>
      <c r="G147" s="11"/>
      <c r="H147" s="11"/>
      <c r="O147" s="11"/>
    </row>
  </sheetData>
  <mergeCells count="114">
    <mergeCell ref="B83:D83"/>
    <mergeCell ref="I84:N84"/>
    <mergeCell ref="R88:S88"/>
    <mergeCell ref="B93:G94"/>
    <mergeCell ref="I94:N94"/>
    <mergeCell ref="I100:N100"/>
    <mergeCell ref="A80:C80"/>
    <mergeCell ref="D80:E80"/>
    <mergeCell ref="F80:G80"/>
    <mergeCell ref="A81:C81"/>
    <mergeCell ref="D81:E81"/>
    <mergeCell ref="F81:G81"/>
    <mergeCell ref="I77:N77"/>
    <mergeCell ref="P77:U77"/>
    <mergeCell ref="A78:C78"/>
    <mergeCell ref="D78:E78"/>
    <mergeCell ref="F78:G78"/>
    <mergeCell ref="A79:C79"/>
    <mergeCell ref="D79:E79"/>
    <mergeCell ref="F79:G79"/>
    <mergeCell ref="A76:C76"/>
    <mergeCell ref="D76:E76"/>
    <mergeCell ref="F76:G76"/>
    <mergeCell ref="A77:C77"/>
    <mergeCell ref="D77:E77"/>
    <mergeCell ref="F77:G77"/>
    <mergeCell ref="A74:C74"/>
    <mergeCell ref="D74:E74"/>
    <mergeCell ref="F74:G74"/>
    <mergeCell ref="A75:C75"/>
    <mergeCell ref="D75:E75"/>
    <mergeCell ref="F75:G75"/>
    <mergeCell ref="A72:C72"/>
    <mergeCell ref="D72:E72"/>
    <mergeCell ref="F72:G72"/>
    <mergeCell ref="A73:C73"/>
    <mergeCell ref="D73:E73"/>
    <mergeCell ref="F73:G73"/>
    <mergeCell ref="B66:F66"/>
    <mergeCell ref="A67:G67"/>
    <mergeCell ref="A68:G68"/>
    <mergeCell ref="A71:G71"/>
    <mergeCell ref="I71:N71"/>
    <mergeCell ref="P71:U71"/>
    <mergeCell ref="J57:J59"/>
    <mergeCell ref="M57:M59"/>
    <mergeCell ref="N57:N59"/>
    <mergeCell ref="O57:O59"/>
    <mergeCell ref="H58:H59"/>
    <mergeCell ref="I58:I59"/>
    <mergeCell ref="A50:G50"/>
    <mergeCell ref="A51:G51"/>
    <mergeCell ref="A56:O56"/>
    <mergeCell ref="A57:A59"/>
    <mergeCell ref="B57:C58"/>
    <mergeCell ref="D57:D59"/>
    <mergeCell ref="E57:E59"/>
    <mergeCell ref="F57:F59"/>
    <mergeCell ref="G57:G59"/>
    <mergeCell ref="H57:I57"/>
    <mergeCell ref="M43:M45"/>
    <mergeCell ref="N43:N45"/>
    <mergeCell ref="O43:O45"/>
    <mergeCell ref="H44:H45"/>
    <mergeCell ref="I44:I45"/>
    <mergeCell ref="B49:F49"/>
    <mergeCell ref="A40:G40"/>
    <mergeCell ref="A42:M42"/>
    <mergeCell ref="A43:A45"/>
    <mergeCell ref="B43:C44"/>
    <mergeCell ref="D43:D45"/>
    <mergeCell ref="E43:E45"/>
    <mergeCell ref="F43:F45"/>
    <mergeCell ref="G43:G45"/>
    <mergeCell ref="H43:I43"/>
    <mergeCell ref="J43:J45"/>
    <mergeCell ref="N28:N30"/>
    <mergeCell ref="O28:O30"/>
    <mergeCell ref="H29:H30"/>
    <mergeCell ref="I29:I30"/>
    <mergeCell ref="B38:F38"/>
    <mergeCell ref="A39:G39"/>
    <mergeCell ref="A27:M27"/>
    <mergeCell ref="A28:A30"/>
    <mergeCell ref="B28:C29"/>
    <mergeCell ref="D28:D30"/>
    <mergeCell ref="E28:E30"/>
    <mergeCell ref="F28:F30"/>
    <mergeCell ref="G28:G30"/>
    <mergeCell ref="H28:I28"/>
    <mergeCell ref="J28:J30"/>
    <mergeCell ref="M28:M30"/>
    <mergeCell ref="N15:N17"/>
    <mergeCell ref="O15:O17"/>
    <mergeCell ref="I16:I17"/>
    <mergeCell ref="B23:F23"/>
    <mergeCell ref="A24:G24"/>
    <mergeCell ref="A25:G25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N11"/>
  </mergeCells>
  <conditionalFormatting sqref="J73:M75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{6C31ABDA-7B80-417E-B1C6-A807A478F1D0}</x14:id>
        </ext>
      </extLst>
    </cfRule>
  </conditionalFormatting>
  <conditionalFormatting sqref="J79:M81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{2164ADAC-7F46-4E85-8F2F-0B5C967DA50B}</x14:id>
        </ext>
      </extLst>
    </cfRule>
  </conditionalFormatting>
  <conditionalFormatting sqref="J86:M91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{C3B929AC-5AFC-40C6-9F77-749C921427A5}</x14:id>
        </ext>
      </extLst>
    </cfRule>
  </conditionalFormatting>
  <conditionalFormatting sqref="J73:N7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{8C812E1C-6B61-4350-84E1-54E1BA9E3052}</x14:id>
        </ext>
      </extLst>
    </cfRule>
    <cfRule type="colorScale" priority="10">
      <colorScale>
        <cfvo type="min"/>
        <cfvo type="max"/>
        <color rgb="FFFCFCFF"/>
        <color rgb="FF63BE7B"/>
      </colorScale>
    </cfRule>
    <cfRule type="top10" dxfId="0" priority="11" rank="5"/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6:N91">
    <cfRule type="colorScale" priority="9">
      <colorScale>
        <cfvo type="min"/>
        <cfvo type="max"/>
        <color rgb="FFFCFCFF"/>
        <color rgb="FF63BE7B"/>
      </colorScale>
    </cfRule>
  </conditionalFormatting>
  <conditionalFormatting sqref="K74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{15978DDD-E5D5-4277-ADDB-F7A65798C5CA}</x14:id>
        </ext>
      </extLst>
    </cfRule>
  </conditionalFormatting>
  <conditionalFormatting sqref="Q73:Q7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{6F360BA9-2500-444A-8B72-37B3BE04A36B}</x14:id>
        </ext>
      </extLst>
    </cfRule>
  </conditionalFormatting>
  <conditionalFormatting sqref="Q79:T84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{246A1EF6-B2B6-4655-9A95-06B344F3E36D}</x14:id>
        </ext>
      </extLst>
    </cfRule>
  </conditionalFormatting>
  <conditionalFormatting sqref="Q85:U8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3:T75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{0BFC3CE5-B87B-4E4D-9B8B-FAF814C545BC}</x14:id>
        </ext>
      </extLst>
    </cfRule>
  </conditionalFormatting>
  <conditionalFormatting sqref="J96:J9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{69AC6C0A-4457-4C5E-93C2-2E23121D71DD}</x14:id>
        </ext>
      </extLst>
    </cfRule>
  </conditionalFormatting>
  <conditionalFormatting sqref="J102:M10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{8F23DFEF-CA98-498D-B9C6-3613A03DF053}</x14:id>
        </ext>
      </extLst>
    </cfRule>
  </conditionalFormatting>
  <conditionalFormatting sqref="J108:N10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6:M9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{232584FF-2F87-4BB2-9202-55C74C960DAF}</x14:id>
        </ext>
      </extLst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31ABDA-7B80-417E-B1C6-A807A478F1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J73:M75</xm:sqref>
        </x14:conditionalFormatting>
        <x14:conditionalFormatting xmlns:xm="http://schemas.microsoft.com/office/excel/2006/main">
          <x14:cfRule type="dataBar" id="{2164ADAC-7F46-4E85-8F2F-0B5C967DA50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J79:M81</xm:sqref>
        </x14:conditionalFormatting>
        <x14:conditionalFormatting xmlns:xm="http://schemas.microsoft.com/office/excel/2006/main">
          <x14:cfRule type="dataBar" id="{C3B929AC-5AFC-40C6-9F77-749C921427A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J86:M91</xm:sqref>
        </x14:conditionalFormatting>
        <x14:conditionalFormatting xmlns:xm="http://schemas.microsoft.com/office/excel/2006/main">
          <x14:cfRule type="dataBar" id="{8C812E1C-6B61-4350-84E1-54E1BA9E30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J73:N75</xm:sqref>
        </x14:conditionalFormatting>
        <x14:conditionalFormatting xmlns:xm="http://schemas.microsoft.com/office/excel/2006/main">
          <x14:cfRule type="dataBar" id="{15978DDD-E5D5-4277-ADDB-F7A65798C5C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K74</xm:sqref>
        </x14:conditionalFormatting>
        <x14:conditionalFormatting xmlns:xm="http://schemas.microsoft.com/office/excel/2006/main">
          <x14:cfRule type="dataBar" id="{6F360BA9-2500-444A-8B72-37B3BE04A3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Q73:Q75</xm:sqref>
        </x14:conditionalFormatting>
        <x14:conditionalFormatting xmlns:xm="http://schemas.microsoft.com/office/excel/2006/main">
          <x14:cfRule type="dataBar" id="{246A1EF6-B2B6-4655-9A95-06B344F3E36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Q79:T84</xm:sqref>
        </x14:conditionalFormatting>
        <x14:conditionalFormatting xmlns:xm="http://schemas.microsoft.com/office/excel/2006/main">
          <x14:cfRule type="dataBar" id="{0BFC3CE5-B87B-4E4D-9B8B-FAF814C545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R73:T75</xm:sqref>
        </x14:conditionalFormatting>
        <x14:conditionalFormatting xmlns:xm="http://schemas.microsoft.com/office/excel/2006/main">
          <x14:cfRule type="dataBar" id="{69AC6C0A-4457-4C5E-93C2-2E23121D71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J96:J98</xm:sqref>
        </x14:conditionalFormatting>
        <x14:conditionalFormatting xmlns:xm="http://schemas.microsoft.com/office/excel/2006/main">
          <x14:cfRule type="dataBar" id="{8F23DFEF-CA98-498D-B9C6-3613A03DF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J102:M107</xm:sqref>
        </x14:conditionalFormatting>
        <x14:conditionalFormatting xmlns:xm="http://schemas.microsoft.com/office/excel/2006/main">
          <x14:cfRule type="dataBar" id="{232584FF-2F87-4BB2-9202-55C74C960DA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K96:M98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2025-04-10T19:54:15Z</dcterms:created>
  <dcterms:modified xsi:type="dcterms:W3CDTF">2025-04-10T19:54:39Z</dcterms:modified>
</cp:coreProperties>
</file>