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csanquintin_coniaf_gob_do/Documents/Documentos/DEPARTAMENTO DE PLANIFICACION/INFORMES MENSUALES Y TRANSPARECIA/INFORMES MENSUALES TRANSPARENCIA/TRANSPARENCIA 2024/FEBRERO/"/>
    </mc:Choice>
  </mc:AlternateContent>
  <xr:revisionPtr revIDLastSave="368" documentId="8_{77706AA8-73DD-43B7-91D1-498A3C7EC7BD}" xr6:coauthVersionLast="47" xr6:coauthVersionMax="47" xr10:uidLastSave="{58E52016-5A33-42FC-9BE2-A824685AC573}"/>
  <bookViews>
    <workbookView xWindow="-120" yWindow="-120" windowWidth="29040" windowHeight="15720" xr2:uid="{6BADD5A4-B6CE-4CC2-B55B-0B81200C7392}"/>
  </bookViews>
  <sheets>
    <sheet name="FEBRERO 24 " sheetId="2" r:id="rId1"/>
    <sheet name="FEBRERO  calculo blce enero 24" sheetId="1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2" l="1"/>
  <c r="Q38" i="2" l="1"/>
  <c r="P38" i="2"/>
  <c r="P37" i="2"/>
  <c r="Q61" i="2" l="1"/>
  <c r="P61" i="2"/>
  <c r="Q60" i="2"/>
  <c r="P60" i="2"/>
  <c r="H72" i="2" l="1"/>
  <c r="F72" i="2"/>
  <c r="O36" i="2"/>
  <c r="O37" i="2"/>
  <c r="O38" i="2"/>
  <c r="Q90" i="2" l="1"/>
  <c r="R90" i="2"/>
  <c r="T90" i="2"/>
  <c r="T89" i="2"/>
  <c r="T88" i="2"/>
  <c r="T87" i="2"/>
  <c r="T86" i="2"/>
  <c r="T85" i="2"/>
  <c r="S90" i="2"/>
  <c r="S89" i="2"/>
  <c r="S88" i="2"/>
  <c r="S87" i="2"/>
  <c r="S86" i="2"/>
  <c r="S85" i="2"/>
  <c r="R89" i="2"/>
  <c r="R88" i="2"/>
  <c r="R87" i="2"/>
  <c r="R86" i="2"/>
  <c r="R85" i="2"/>
  <c r="Q89" i="2"/>
  <c r="Q88" i="2"/>
  <c r="Q87" i="2"/>
  <c r="Q86" i="2"/>
  <c r="Q85" i="2"/>
  <c r="M87" i="2" l="1"/>
  <c r="M85" i="2"/>
  <c r="J85" i="2"/>
  <c r="U85" i="2"/>
  <c r="U86" i="2"/>
  <c r="U87" i="2"/>
  <c r="U88" i="2"/>
  <c r="U89" i="2"/>
  <c r="D76" i="2" s="1"/>
  <c r="U90" i="2"/>
  <c r="Q91" i="2"/>
  <c r="R91" i="2"/>
  <c r="S91" i="2"/>
  <c r="T91" i="2"/>
  <c r="K87" i="2"/>
  <c r="L85" i="2"/>
  <c r="K85" i="2"/>
  <c r="T74" i="2"/>
  <c r="S74" i="2"/>
  <c r="R74" i="2"/>
  <c r="Q74" i="2"/>
  <c r="U73" i="2"/>
  <c r="D71" i="2" s="1"/>
  <c r="U72" i="2"/>
  <c r="U71" i="2"/>
  <c r="N64" i="2"/>
  <c r="M64" i="2"/>
  <c r="M89" i="2" s="1"/>
  <c r="L64" i="2"/>
  <c r="M71" i="2" s="1"/>
  <c r="K64" i="2"/>
  <c r="M72" i="2" s="1"/>
  <c r="M79" i="2" s="1"/>
  <c r="J64" i="2"/>
  <c r="I64" i="2"/>
  <c r="H64" i="2"/>
  <c r="G64" i="2"/>
  <c r="M88" i="2" s="1"/>
  <c r="A64" i="2"/>
  <c r="M86" i="2" s="1"/>
  <c r="O63" i="2"/>
  <c r="O62" i="2"/>
  <c r="O61" i="2"/>
  <c r="O60" i="2"/>
  <c r="N51" i="2"/>
  <c r="N52" i="2" s="1"/>
  <c r="M51" i="2"/>
  <c r="K89" i="2" s="1"/>
  <c r="L51" i="2"/>
  <c r="K71" i="2" s="1"/>
  <c r="K78" i="2" s="1"/>
  <c r="K51" i="2"/>
  <c r="K72" i="2" s="1"/>
  <c r="K79" i="2" s="1"/>
  <c r="J51" i="2"/>
  <c r="I51" i="2"/>
  <c r="H51" i="2"/>
  <c r="G51" i="2"/>
  <c r="K88" i="2" s="1"/>
  <c r="A51" i="2"/>
  <c r="K86" i="2" s="1"/>
  <c r="O50" i="2"/>
  <c r="O49" i="2"/>
  <c r="O48" i="2"/>
  <c r="N40" i="2"/>
  <c r="N41" i="2" s="1"/>
  <c r="O41" i="2" s="1"/>
  <c r="M40" i="2"/>
  <c r="M42" i="2" s="1"/>
  <c r="L40" i="2"/>
  <c r="L71" i="2" s="1"/>
  <c r="K40" i="2"/>
  <c r="L72" i="2" s="1"/>
  <c r="L79" i="2" s="1"/>
  <c r="J40" i="2"/>
  <c r="I40" i="2"/>
  <c r="H40" i="2"/>
  <c r="G40" i="2"/>
  <c r="L88" i="2" s="1"/>
  <c r="A40" i="2"/>
  <c r="L86" i="2" s="1"/>
  <c r="O39" i="2"/>
  <c r="O35" i="2"/>
  <c r="O34" i="2"/>
  <c r="O33" i="2"/>
  <c r="N25" i="2"/>
  <c r="M25" i="2"/>
  <c r="M27" i="2" s="1"/>
  <c r="L25" i="2"/>
  <c r="J71" i="2" s="1"/>
  <c r="K25" i="2"/>
  <c r="J72" i="2" s="1"/>
  <c r="I25" i="2"/>
  <c r="H25" i="2"/>
  <c r="J87" i="2" s="1"/>
  <c r="G25" i="2"/>
  <c r="J88" i="2" s="1"/>
  <c r="A25" i="2"/>
  <c r="J86" i="2" s="1"/>
  <c r="O24" i="2"/>
  <c r="O23" i="2"/>
  <c r="O22" i="2"/>
  <c r="O21" i="2"/>
  <c r="O20" i="2"/>
  <c r="J20" i="2"/>
  <c r="O19" i="2"/>
  <c r="O18" i="2"/>
  <c r="J18" i="2"/>
  <c r="R20" i="1"/>
  <c r="D79" i="2" l="1"/>
  <c r="P19" i="2"/>
  <c r="J89" i="2"/>
  <c r="J25" i="2"/>
  <c r="O51" i="2"/>
  <c r="U91" i="2"/>
  <c r="F73" i="2"/>
  <c r="N85" i="2"/>
  <c r="O25" i="2"/>
  <c r="M53" i="2"/>
  <c r="F76" i="2"/>
  <c r="N89" i="2" s="1"/>
  <c r="O64" i="2"/>
  <c r="F77" i="2"/>
  <c r="N26" i="2"/>
  <c r="O26" i="2" s="1"/>
  <c r="O40" i="2"/>
  <c r="O42" i="2" s="1"/>
  <c r="N65" i="2"/>
  <c r="O65" i="2" s="1"/>
  <c r="U74" i="2"/>
  <c r="Q25" i="2"/>
  <c r="N42" i="2"/>
  <c r="J79" i="2"/>
  <c r="N72" i="2"/>
  <c r="N79" i="2" s="1"/>
  <c r="N53" i="2"/>
  <c r="J78" i="2"/>
  <c r="N71" i="2"/>
  <c r="N78" i="2" s="1"/>
  <c r="O52" i="2"/>
  <c r="M78" i="2"/>
  <c r="L78" i="2"/>
  <c r="P25" i="2"/>
  <c r="S20" i="2"/>
  <c r="F74" i="2"/>
  <c r="F75" i="2"/>
  <c r="M66" i="2"/>
  <c r="P59" i="1"/>
  <c r="P60" i="1"/>
  <c r="P58" i="1"/>
  <c r="P62" i="1" s="1"/>
  <c r="R62" i="1"/>
  <c r="P46" i="1"/>
  <c r="P34" i="1"/>
  <c r="P33" i="1"/>
  <c r="Q23" i="1"/>
  <c r="P25" i="1"/>
  <c r="P20" i="1"/>
  <c r="P21" i="1"/>
  <c r="P22" i="1"/>
  <c r="P23" i="1"/>
  <c r="P24" i="1"/>
  <c r="P19" i="1"/>
  <c r="P18" i="1"/>
  <c r="J20" i="1"/>
  <c r="J18" i="1"/>
  <c r="M84" i="1"/>
  <c r="M82" i="1"/>
  <c r="L82" i="1"/>
  <c r="K84" i="1"/>
  <c r="S81" i="1"/>
  <c r="T81" i="1"/>
  <c r="U81" i="1"/>
  <c r="R81" i="1"/>
  <c r="K82" i="1"/>
  <c r="J82" i="1"/>
  <c r="Q81" i="1"/>
  <c r="R72" i="1"/>
  <c r="Q72" i="1"/>
  <c r="U71" i="1"/>
  <c r="U70" i="1"/>
  <c r="T72" i="1"/>
  <c r="U69" i="1"/>
  <c r="D77" i="1"/>
  <c r="N88" i="2" l="1"/>
  <c r="H75" i="2"/>
  <c r="N86" i="2"/>
  <c r="H73" i="2"/>
  <c r="H76" i="2"/>
  <c r="N87" i="2"/>
  <c r="H74" i="2"/>
  <c r="N90" i="2"/>
  <c r="H77" i="2"/>
  <c r="O53" i="2"/>
  <c r="O27" i="2"/>
  <c r="J73" i="2" s="1"/>
  <c r="O66" i="2"/>
  <c r="N66" i="2"/>
  <c r="M90" i="2" s="1"/>
  <c r="F78" i="2"/>
  <c r="F79" i="2" s="1"/>
  <c r="N27" i="2"/>
  <c r="J90" i="2" s="1"/>
  <c r="K73" i="2"/>
  <c r="L73" i="2"/>
  <c r="S72" i="1"/>
  <c r="U72" i="1" s="1"/>
  <c r="K80" i="2" l="1"/>
  <c r="K91" i="2"/>
  <c r="K90" i="2"/>
  <c r="L91" i="2"/>
  <c r="L90" i="2"/>
  <c r="J74" i="2"/>
  <c r="J81" i="2" s="1"/>
  <c r="J91" i="2"/>
  <c r="M73" i="2"/>
  <c r="J80" i="2"/>
  <c r="F71" i="2"/>
  <c r="H71" i="2" s="1"/>
  <c r="L80" i="2"/>
  <c r="L74" i="2"/>
  <c r="L81" i="2" s="1"/>
  <c r="K74" i="2"/>
  <c r="H25" i="1"/>
  <c r="J84" i="1" s="1"/>
  <c r="I25" i="1"/>
  <c r="J25" i="1"/>
  <c r="K25" i="1"/>
  <c r="L25" i="1"/>
  <c r="M25" i="1"/>
  <c r="J86" i="1" s="1"/>
  <c r="N25" i="1"/>
  <c r="G25" i="1"/>
  <c r="J85" i="1" s="1"/>
  <c r="A25" i="1"/>
  <c r="J83" i="1" s="1"/>
  <c r="O24" i="1"/>
  <c r="Q24" i="1" s="1"/>
  <c r="O19" i="1"/>
  <c r="O20" i="1"/>
  <c r="O21" i="1"/>
  <c r="O22" i="1"/>
  <c r="O23" i="1"/>
  <c r="O18" i="1"/>
  <c r="Q18" i="1" s="1"/>
  <c r="O60" i="1"/>
  <c r="Q60" i="1" s="1"/>
  <c r="A38" i="1"/>
  <c r="L83" i="1" s="1"/>
  <c r="Q20" i="1" l="1"/>
  <c r="S20" i="1" s="1"/>
  <c r="Q19" i="1"/>
  <c r="Q25" i="1" s="1"/>
  <c r="N73" i="2"/>
  <c r="N91" i="2" s="1"/>
  <c r="M91" i="2"/>
  <c r="M80" i="2"/>
  <c r="M74" i="2"/>
  <c r="M81" i="2" s="1"/>
  <c r="K81" i="2"/>
  <c r="O25" i="1"/>
  <c r="H49" i="1"/>
  <c r="I49" i="1"/>
  <c r="J49" i="1"/>
  <c r="K49" i="1"/>
  <c r="L49" i="1"/>
  <c r="M49" i="1"/>
  <c r="K86" i="1" s="1"/>
  <c r="N49" i="1"/>
  <c r="G49" i="1"/>
  <c r="K85" i="1" s="1"/>
  <c r="N80" i="2" l="1"/>
  <c r="N74" i="2"/>
  <c r="N81" i="2" s="1"/>
  <c r="F70" i="1"/>
  <c r="K69" i="1"/>
  <c r="K75" i="1" s="1"/>
  <c r="N62" i="1"/>
  <c r="M62" i="1"/>
  <c r="M86" i="1" s="1"/>
  <c r="L62" i="1"/>
  <c r="M69" i="1" s="1"/>
  <c r="M75" i="1" s="1"/>
  <c r="K62" i="1"/>
  <c r="M70" i="1" s="1"/>
  <c r="M76" i="1" s="1"/>
  <c r="J62" i="1"/>
  <c r="I62" i="1"/>
  <c r="H62" i="1"/>
  <c r="G62" i="1"/>
  <c r="M85" i="1" s="1"/>
  <c r="A62" i="1"/>
  <c r="M83" i="1" s="1"/>
  <c r="O61" i="1"/>
  <c r="O59" i="1"/>
  <c r="O58" i="1"/>
  <c r="Q58" i="1" s="1"/>
  <c r="M51" i="1"/>
  <c r="N50" i="1"/>
  <c r="K70" i="1"/>
  <c r="K76" i="1" s="1"/>
  <c r="A49" i="1"/>
  <c r="K83" i="1" s="1"/>
  <c r="O48" i="1"/>
  <c r="O47" i="1"/>
  <c r="O46" i="1"/>
  <c r="Q46" i="1" s="1"/>
  <c r="N38" i="1"/>
  <c r="N39" i="1" s="1"/>
  <c r="M38" i="1"/>
  <c r="M40" i="1" s="1"/>
  <c r="L38" i="1"/>
  <c r="L69" i="1" s="1"/>
  <c r="L75" i="1" s="1"/>
  <c r="K38" i="1"/>
  <c r="L70" i="1" s="1"/>
  <c r="L76" i="1" s="1"/>
  <c r="J38" i="1"/>
  <c r="I38" i="1"/>
  <c r="H38" i="1"/>
  <c r="G38" i="1"/>
  <c r="L85" i="1" s="1"/>
  <c r="O37" i="1"/>
  <c r="O36" i="1"/>
  <c r="O35" i="1"/>
  <c r="O34" i="1"/>
  <c r="Q34" i="1" s="1"/>
  <c r="O33" i="1"/>
  <c r="Q33" i="1" s="1"/>
  <c r="N26" i="1"/>
  <c r="M27" i="1"/>
  <c r="J69" i="1"/>
  <c r="J75" i="1" s="1"/>
  <c r="J70" i="1"/>
  <c r="J76" i="1" s="1"/>
  <c r="Q59" i="1" l="1"/>
  <c r="Q62" i="1" s="1"/>
  <c r="N63" i="1"/>
  <c r="F76" i="1" s="1"/>
  <c r="F75" i="1"/>
  <c r="N87" i="1" s="1"/>
  <c r="M64" i="1"/>
  <c r="F74" i="1"/>
  <c r="N86" i="1" s="1"/>
  <c r="O62" i="1"/>
  <c r="O38" i="1"/>
  <c r="F73" i="1"/>
  <c r="N85" i="1" s="1"/>
  <c r="F72" i="1"/>
  <c r="F71" i="1"/>
  <c r="N83" i="1" s="1"/>
  <c r="N70" i="1"/>
  <c r="N76" i="1" s="1"/>
  <c r="O49" i="1"/>
  <c r="N51" i="1"/>
  <c r="K87" i="1" s="1"/>
  <c r="O50" i="1"/>
  <c r="N69" i="1"/>
  <c r="N75" i="1" s="1"/>
  <c r="O26" i="1"/>
  <c r="N27" i="1"/>
  <c r="J87" i="1" s="1"/>
  <c r="N40" i="1"/>
  <c r="L87" i="1" s="1"/>
  <c r="O39" i="1"/>
  <c r="N64" i="1" l="1"/>
  <c r="M87" i="1" s="1"/>
  <c r="O63" i="1"/>
  <c r="O64" i="1"/>
  <c r="O40" i="1"/>
  <c r="O51" i="1"/>
  <c r="O27" i="1"/>
  <c r="J71" i="1" s="1"/>
  <c r="J72" i="1" s="1"/>
  <c r="F77" i="1"/>
  <c r="N88" i="1" s="1"/>
  <c r="M71" i="1" l="1"/>
  <c r="M72" i="1" s="1"/>
  <c r="M78" i="1" s="1"/>
  <c r="M88" i="1"/>
  <c r="K71" i="1"/>
  <c r="K72" i="1" s="1"/>
  <c r="K78" i="1" s="1"/>
  <c r="K88" i="1"/>
  <c r="L71" i="1"/>
  <c r="L88" i="1"/>
  <c r="J78" i="1"/>
  <c r="J88" i="1"/>
  <c r="J77" i="1"/>
  <c r="K77" i="1"/>
  <c r="F69" i="1"/>
  <c r="N71" i="1" l="1"/>
  <c r="N77" i="1" s="1"/>
  <c r="M77" i="1"/>
  <c r="L77" i="1"/>
  <c r="L72" i="1"/>
  <c r="L78" i="1" l="1"/>
  <c r="N72" i="1"/>
  <c r="N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tc={C754802A-DF80-4A8B-BCDB-C1F0E24A2A8D}</author>
    <author>tc={3C8FB7D3-26E3-4779-A8EB-2D29B33DC59F}</author>
  </authors>
  <commentList>
    <comment ref="C19" authorId="0" shapeId="0" xr:uid="{C754802A-DF80-4A8B-BCDB-C1F0E24A2A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1" authorId="1" shapeId="0" xr:uid="{3C8FB7D3-26E3-4779-A8EB-2D29B33DC5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tc={4965D9A1-A6C4-4724-8748-7BC5F31EBFCC}</author>
    <author>tc={03E54423-4102-48BB-9E40-C4E1817EB137}</author>
  </authors>
  <commentList>
    <comment ref="C19" authorId="0" shapeId="0" xr:uid="{4965D9A1-A6C4-4724-8748-7BC5F31EBF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1" authorId="1" shapeId="0" xr:uid="{03E54423-4102-48BB-9E40-C4E1817EB1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<sst xmlns="http://schemas.openxmlformats.org/spreadsheetml/2006/main" count="497" uniqueCount="146">
  <si>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</si>
  <si>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</si>
  <si>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</si>
  <si>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</si>
  <si>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</si>
  <si>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FEBRERO 2024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</si>
  <si>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</si>
  <si>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</si>
  <si>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</si>
  <si>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</si>
  <si>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</si>
  <si>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</si>
  <si>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de ACTIVIDADES</t>
  </si>
  <si>
    <t>TÉCNICOS BENEFICIADOS</t>
  </si>
  <si>
    <t>PRESUPUESTO TOTAL 2024 (RD$)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</si>
  <si>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</si>
  <si>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</si>
  <si>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</si>
  <si>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</si>
  <si>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</si>
  <si>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</si>
  <si>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</si>
  <si>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</si>
  <si>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</si>
  <si>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</si>
  <si>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>Victor manuel Landa</t>
  </si>
  <si>
    <r>
      <t xml:space="preserve">Pago preparacion Suelos parcela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 xml:space="preserve"> en Higuey, Yuma</t>
    </r>
  </si>
  <si>
    <t>Victor Payano y Maldané Cuello</t>
  </si>
  <si>
    <t>San Rafael del Yuma</t>
  </si>
  <si>
    <t>Juan Ramon Cedano Mateo</t>
  </si>
  <si>
    <r>
      <t>Monitoreo del grado de germinacion de</t>
    </r>
    <r>
      <rPr>
        <b/>
        <sz val="12"/>
        <rFont val="Cambria"/>
        <family val="1"/>
      </rPr>
      <t>l guandul</t>
    </r>
    <r>
      <rPr>
        <sz val="11"/>
        <rFont val="Cambria"/>
        <family val="1"/>
      </rPr>
      <t xml:space="preserve"> en la parcela de TT instalada  en la comunidad de Mata Yaya. Monitoreo del control quimico de malezas realizado en la parcela </t>
    </r>
  </si>
  <si>
    <t>Mata Yaya, Provincia Elias Piña</t>
  </si>
  <si>
    <t>Salon Sosa Nata</t>
  </si>
  <si>
    <r>
      <t xml:space="preserve"> Visita a Mata Yaya Elias Piña, seguimiento y monitoreo fitosaitario a parcela de validacion y transferencia de tecnologias  del cultivo de </t>
    </r>
    <r>
      <rPr>
        <b/>
        <sz val="11"/>
        <rFont val="Cambria"/>
        <family val="1"/>
      </rPr>
      <t xml:space="preserve">Aguacate </t>
    </r>
    <r>
      <rPr>
        <sz val="11"/>
        <rFont val="Cambria"/>
        <family val="1"/>
      </rPr>
      <t>en Juan Santiago, Hondo Valle.</t>
    </r>
  </si>
  <si>
    <r>
      <t>Monitoreo del riego y control de plagas en las parcelas de</t>
    </r>
    <r>
      <rPr>
        <b/>
        <sz val="12"/>
        <rFont val="Cambria"/>
        <family val="1"/>
      </rPr>
      <t xml:space="preserve"> aguacate</t>
    </r>
    <r>
      <rPr>
        <sz val="11"/>
        <rFont val="Cambria"/>
        <family val="1"/>
      </rPr>
      <t xml:space="preserve"> ubicadas en la Localidad de Juan Santiago, Hondo Valle, donde se observa que todo se realzo satisfactoriamente. </t>
    </r>
  </si>
  <si>
    <t>Hondo Valle(Elias Piña)</t>
  </si>
  <si>
    <t>Miguel Angel Rodriguez</t>
  </si>
  <si>
    <r>
      <t>Se realizaron mediciones de cosecha de</t>
    </r>
    <r>
      <rPr>
        <b/>
        <sz val="12"/>
        <rFont val="Cambria"/>
        <family val="1"/>
      </rPr>
      <t xml:space="preserve"> plàtano </t>
    </r>
    <r>
      <rPr>
        <sz val="11"/>
        <rFont val="Cambria"/>
        <family val="1"/>
      </rPr>
      <t>en la parcela de Tamayo correspondiente al quinto corte. Con relacion a la parcela ubicada en Galvan, la misma fue entregada al pripietario por razones de abandono de este.</t>
    </r>
  </si>
  <si>
    <t>Tamayo, Galvan, Bahoruco</t>
  </si>
  <si>
    <t>Benjamin Toral Fernandez</t>
  </si>
  <si>
    <r>
      <t>Supervision de tercera cosecha en la parcela de</t>
    </r>
    <r>
      <rPr>
        <b/>
        <sz val="12"/>
        <rFont val="Cambria"/>
        <family val="1"/>
      </rPr>
      <t xml:space="preserve"> café  de la Lanza, Polo y segunda fertilizacion,</t>
    </r>
    <r>
      <rPr>
        <sz val="11"/>
        <rFont val="Cambria"/>
        <family val="1"/>
      </rPr>
      <t>en parcela de aguacate, siembra de la parcela de Guandul, y supervision tercera cosecha de platano en Tamayo y Galvan en Bahoruco.</t>
    </r>
  </si>
  <si>
    <t>La Lanza, Polo, Barahona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</si>
  <si>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</si>
  <si>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</si>
  <si>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</si>
  <si>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</si>
  <si>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</si>
  <si>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t>Julio De Oleo</t>
  </si>
  <si>
    <r>
      <t xml:space="preserve"> Se realizó un seguimiento para monitorear el estado de la plantación de</t>
    </r>
    <r>
      <rPr>
        <b/>
        <sz val="12"/>
        <rFont val="Cambria"/>
        <family val="1"/>
      </rPr>
      <t xml:space="preserve"> mango</t>
    </r>
    <r>
      <rPr>
        <sz val="11"/>
        <rFont val="Cambria"/>
        <family val="1"/>
      </rPr>
      <t xml:space="preserve"> y programó la aplicación de inductor de flotaración (nitrato de potasio) para la primera semana de marzo.</t>
    </r>
  </si>
  <si>
    <t xml:space="preserve"> César Montero y Bienvenido Carvajal</t>
  </si>
  <si>
    <t>7 de Feb.</t>
  </si>
  <si>
    <t>Pedernales</t>
  </si>
  <si>
    <r>
      <t xml:space="preserve">.Se realizó un seguimiento para monitorear el estado de los injertos realizados y se planifico una limpieza a la parcela de </t>
    </r>
    <r>
      <rPr>
        <b/>
        <sz val="12"/>
        <rFont val="Cambria"/>
        <family val="1"/>
      </rPr>
      <t>aguacate</t>
    </r>
    <r>
      <rPr>
        <sz val="11"/>
        <rFont val="Cambria"/>
        <family val="1"/>
      </rPr>
      <t xml:space="preserve"> para luego fertilizar.</t>
    </r>
  </si>
  <si>
    <t>6 de Feb.</t>
  </si>
  <si>
    <t>Paraiso, Barahona</t>
  </si>
  <si>
    <r>
      <t>Se realizó un seguimiento a las dos parcelas para monitorear el estado de la plantación de</t>
    </r>
    <r>
      <rPr>
        <b/>
        <sz val="12"/>
        <color theme="1"/>
        <rFont val="Cambria"/>
        <family val="1"/>
      </rPr>
      <t xml:space="preserve"> mango</t>
    </r>
    <r>
      <rPr>
        <sz val="11"/>
        <color theme="1"/>
        <rFont val="Cambria"/>
        <family val="1"/>
      </rPr>
      <t xml:space="preserve"> y se programó la aplicación de inductor de floración (nitrato de potasio) para los días 20 y 21 de febrero primera semana de marzo.</t>
    </r>
  </si>
  <si>
    <t>14 de Feb.</t>
  </si>
  <si>
    <t>Neyba(El tanque y El Manguito)</t>
  </si>
  <si>
    <t>Visita a parcela rubro de Leche y carne en Batey 4, Neyba. Se realizó un seguimiento a dos parcelas seleccionadas para monitorear el estado de los animales y dar inicio a parcela de sanidad tan pronto estén los insumos, materiales y medicamentos.</t>
  </si>
  <si>
    <t>13 de Feb.</t>
  </si>
  <si>
    <t>Neyba(Batey 4)</t>
  </si>
  <si>
    <t>Juan Valdez</t>
  </si>
  <si>
    <r>
      <t xml:space="preserve"> Se realizó una visita a azua para la selección e instalación de las parcelas de</t>
    </r>
    <r>
      <rPr>
        <b/>
        <sz val="12"/>
        <rFont val="Cambria"/>
        <family val="1"/>
      </rPr>
      <t xml:space="preserve"> yuca Amarga Y dulce</t>
    </r>
    <r>
      <rPr>
        <sz val="11"/>
        <rFont val="Cambria"/>
        <family val="1"/>
      </rPr>
      <t>) y se coordino una visita con el tecnico investigador para coordinar la induccion e instalacion de las parcelas de yuca.</t>
    </r>
  </si>
  <si>
    <t>21 de feb.</t>
  </si>
  <si>
    <t>Azua(Tabara arriba)</t>
  </si>
  <si>
    <r>
      <t xml:space="preserve"> Se realizo un seguimiento a la parcela de</t>
    </r>
    <r>
      <rPr>
        <b/>
        <sz val="12"/>
        <rFont val="Cambria"/>
        <family val="1"/>
      </rPr>
      <t xml:space="preserve"> yuca </t>
    </r>
    <r>
      <rPr>
        <sz val="11"/>
        <rFont val="Cambria"/>
        <family val="1"/>
      </rPr>
      <t>y se visitó la oficina del Misterio de Agricultura Dajabón para coordinación de la fecha de cosecha de la parcela de yuca.</t>
    </r>
  </si>
  <si>
    <t>28 de feb.</t>
  </si>
  <si>
    <t>Dajabon</t>
  </si>
  <si>
    <t>TOTAL</t>
  </si>
  <si>
    <t>DEPARTAMENTO DE ACCESO A LAS CIENCIAS MODERNAS</t>
  </si>
  <si>
    <t xml:space="preserve">Johuan Santos </t>
  </si>
  <si>
    <t>Programacion presupuesto aji picante #2 y seguimiento parcela de berenjena</t>
  </si>
  <si>
    <t>Jose Cepeda</t>
  </si>
  <si>
    <t>2 de feb.</t>
  </si>
  <si>
    <t>La Vega</t>
  </si>
  <si>
    <t>Johuan Santos y Alexis Peguero</t>
  </si>
  <si>
    <t xml:space="preserve">Seguimiento a parcela de berenjena china </t>
  </si>
  <si>
    <t>16 de feb.</t>
  </si>
  <si>
    <t>Seguimiento a parcela de berenjena china y reunion con extensionistas (aji)</t>
  </si>
  <si>
    <t>29 de feb.</t>
  </si>
  <si>
    <t xml:space="preserve">DEPARTAMENTO DE MEDIO AMBIENTE Y RECURSOS NATURALES         </t>
  </si>
  <si>
    <t>HORAS TRANSFE-RENCIA</t>
  </si>
  <si>
    <t>COSTO TOTAL</t>
  </si>
  <si>
    <t>Elpio Avilès/Angel Adames.</t>
  </si>
  <si>
    <r>
      <t>Visita coordinaciòn  Instalacion Parcela de</t>
    </r>
    <r>
      <rPr>
        <b/>
        <sz val="11"/>
        <rFont val="Cambria"/>
        <family val="1"/>
      </rPr>
      <t xml:space="preserve"> Arroz </t>
    </r>
    <r>
      <rPr>
        <sz val="11"/>
        <rFont val="Cambria"/>
        <family val="1"/>
      </rPr>
      <t>.</t>
    </r>
  </si>
  <si>
    <t>José A. Nova</t>
  </si>
  <si>
    <t>Nisibon, Higuey .</t>
  </si>
  <si>
    <r>
      <t>Visita técnica de seguimiento fitosanitario y realización de la 1ra fertilización de parcela demostrativa y validación de tecnologías, para el control del Piogàn de la</t>
    </r>
    <r>
      <rPr>
        <b/>
        <sz val="11"/>
        <color theme="1"/>
        <rFont val="Cambria"/>
        <family val="1"/>
      </rPr>
      <t xml:space="preserve"> batata, c</t>
    </r>
    <r>
      <rPr>
        <sz val="11"/>
        <color theme="1"/>
        <rFont val="Cambria"/>
        <family val="1"/>
      </rPr>
      <t>on el uso de feromona y Beauveria bassiana.</t>
    </r>
  </si>
  <si>
    <t>San Rafel del Yuma(Batey Baiguà), Higuey</t>
  </si>
  <si>
    <t>Alejandro Maria Nuñez</t>
  </si>
  <si>
    <r>
      <t xml:space="preserve">Visita para coordinar el montaje y desarrollo de un “Curso sobre tecnologías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 xml:space="preserve"> para Alejandro Maria Nuñezla innovación y competitividad</t>
    </r>
  </si>
  <si>
    <t>Hato mayor del Rey</t>
  </si>
  <si>
    <r>
      <t>Visita Técnica de supervisión y coordinación de las labores culturales en 
la parcela demostrativa de tecnologías para el cultivo de</t>
    </r>
    <r>
      <rPr>
        <b/>
        <sz val="11"/>
        <rFont val="Cambria"/>
        <family val="1"/>
      </rPr>
      <t xml:space="preserve"> batata </t>
    </r>
  </si>
  <si>
    <t xml:space="preserve">PROGRAMACION INDICADORES </t>
  </si>
  <si>
    <t>EJECUCION EN VALORES $RD.  NETO</t>
  </si>
  <si>
    <t>PROGRAMACION EJECUCION EN RD.$ NETO  FEBRERO 2024</t>
  </si>
  <si>
    <t xml:space="preserve">RESUMEN PROGRAMACIÓN </t>
  </si>
  <si>
    <t>PRESUPUESTO FEBRERO  2024</t>
  </si>
  <si>
    <t>EJECUCION FEBRERO</t>
  </si>
  <si>
    <t>DPTO</t>
  </si>
  <si>
    <t>Agric. Competitiva</t>
  </si>
  <si>
    <t>Ciencias Modernas</t>
  </si>
  <si>
    <t>Podresza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</si>
  <si>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</si>
  <si>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</si>
  <si>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</si>
  <si>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</si>
  <si>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</si>
  <si>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</si>
  <si>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</si>
  <si>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</si>
  <si>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COSTO LOGÍSTICO         (RD$) </t>
  </si>
  <si>
    <t xml:space="preserve">EJECUCION PORCENTUAL EN$ RD. </t>
  </si>
  <si>
    <t xml:space="preserve">COSTO FACILITADORES (RD$) </t>
  </si>
  <si>
    <t>OTROS COSTOS (Ley ISR)</t>
  </si>
  <si>
    <t xml:space="preserve">COSTO TOTAL      (RD$) </t>
  </si>
  <si>
    <t>EJECUCION %  INDICADORES POR DEPARTAMENTOS</t>
  </si>
  <si>
    <t xml:space="preserve"> PROGRAMACION INDICADORES POR DEPARTAMENTOS</t>
  </si>
  <si>
    <t>SEGUIMIENTO</t>
  </si>
  <si>
    <t>BENEFICIARIOS</t>
  </si>
  <si>
    <t>HORAS/ACTV.</t>
  </si>
  <si>
    <t>COSTO LOG.</t>
  </si>
  <si>
    <t>FACILITADORES</t>
  </si>
  <si>
    <t xml:space="preserve"> COSTOFACIL.</t>
  </si>
  <si>
    <t>DISPONIBLE REAL 2024</t>
  </si>
  <si>
    <t>BALANCE ENERO</t>
  </si>
  <si>
    <t>Remanente 2022-2023</t>
  </si>
  <si>
    <t>Balance al 31/01/2024</t>
  </si>
  <si>
    <t>DISPONIBLE REAL</t>
  </si>
  <si>
    <t>Julio Valdez</t>
  </si>
  <si>
    <r>
      <t>Transferencia de tecnología en el cultivo de</t>
    </r>
    <r>
      <rPr>
        <b/>
        <sz val="14"/>
        <rFont val="Cambria"/>
        <family val="1"/>
      </rPr>
      <t xml:space="preserve"> yuca</t>
    </r>
    <r>
      <rPr>
        <sz val="11"/>
        <rFont val="Cambria"/>
        <family val="1"/>
      </rPr>
      <t>. Se realizó un seguimiento para monitorear el estado de las variedades de yucas y programar la cosecha de la parcela. se observo que aun le falta para engrosar de uno a dos meses, por lo cual se programo con el productor cosechar despues de la segunda semana de marzo.</t>
    </r>
  </si>
  <si>
    <t>Dajabón</t>
  </si>
  <si>
    <t>-</t>
  </si>
  <si>
    <r>
      <t xml:space="preserve">Compra Fertilizante Foliar para </t>
    </r>
    <r>
      <rPr>
        <b/>
        <sz val="11"/>
        <color theme="1"/>
        <rFont val="Times New Roman"/>
        <family val="1"/>
      </rPr>
      <t>Mango</t>
    </r>
    <r>
      <rPr>
        <sz val="11"/>
        <color theme="1"/>
        <rFont val="Times New Roman"/>
        <family val="1"/>
      </rPr>
      <t xml:space="preserve"> </t>
    </r>
  </si>
  <si>
    <r>
      <t>Pago labores culturales y aplicaciones en</t>
    </r>
    <r>
      <rPr>
        <b/>
        <sz val="11"/>
        <color theme="1"/>
        <rFont val="Times New Roman"/>
        <family val="1"/>
      </rPr>
      <t xml:space="preserve"> Magos</t>
    </r>
  </si>
  <si>
    <t>Elaboracion presupuesto para instalacion parcela de aji picante</t>
  </si>
  <si>
    <t>PROGRAMACION GASTOS  FEBRERO2024</t>
  </si>
  <si>
    <t xml:space="preserve">EJECUCION PORCENTUAL </t>
  </si>
  <si>
    <t>PROGRAMACION   INDICADORES ENERO 2024</t>
  </si>
  <si>
    <t>1 de Feb.</t>
  </si>
  <si>
    <t>6 de feb.</t>
  </si>
  <si>
    <t>20-21 de feb.</t>
  </si>
  <si>
    <r>
      <t xml:space="preserve">Visita de seguimiento fitosanitario y 3ra gira </t>
    </r>
    <r>
      <rPr>
        <i/>
        <sz val="11"/>
        <color theme="1"/>
        <rFont val="Cambria"/>
        <family val="1"/>
      </rPr>
      <t xml:space="preserve">técnica de transferencia </t>
    </r>
    <r>
      <rPr>
        <sz val="11"/>
        <color theme="1"/>
        <rFont val="Cambria"/>
        <family val="1"/>
      </rPr>
      <t>en la parcela</t>
    </r>
    <r>
      <rPr>
        <b/>
        <sz val="12"/>
        <color theme="1"/>
        <rFont val="Cambria"/>
        <family val="1"/>
      </rPr>
      <t xml:space="preserve"> arroz d</t>
    </r>
    <r>
      <rPr>
        <sz val="11"/>
        <color theme="1"/>
        <rFont val="Cambria"/>
        <family val="1"/>
      </rPr>
      <t>e siembra directa, para demostración y validación de tecnologías, instalada en Nisibòn de Higüey.</t>
    </r>
  </si>
  <si>
    <r>
      <t>Visita técnica de seguimiento fitosanitario y realización de aplicación de abono foliar más insecticida, de parcela demostrativa y validación de tecnologías, de</t>
    </r>
    <r>
      <rPr>
        <b/>
        <sz val="12"/>
        <color theme="1"/>
        <rFont val="Cambria"/>
        <family val="1"/>
      </rPr>
      <t xml:space="preserve"> batata, </t>
    </r>
    <r>
      <rPr>
        <sz val="11"/>
        <color theme="1"/>
        <rFont val="Cambria"/>
        <family val="1"/>
      </rPr>
      <t>De igual manera se realizó una gira técnica el 20 de febrero para evaluar el desarrollo de los cuatro materiales establecidos y para el 5 de abril la cosecha y pesaje de los cuatro materiales establecidos (Yasentà, Hamada, Montecarlo y Canò amarilla).</t>
    </r>
  </si>
  <si>
    <t>27-29 feb.</t>
  </si>
  <si>
    <r>
      <t xml:space="preserve"> Curso sobre tecnologías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 xml:space="preserve"> para la innovación y competitividad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</si>
</sst>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name val="Cambria"/>
      <family val="1"/>
    </font>
    <font>
      <b/>
      <sz val="11"/>
      <color rgb="FFFF0000"/>
      <name val="Cambria"/>
      <family val="1"/>
    </font>
    <font>
      <sz val="11"/>
      <color theme="1"/>
      <name val="Times New Roman"/>
      <family val="1"/>
    </font>
    <font>
      <b/>
      <u/>
      <sz val="11"/>
      <color rgb="FFFF0000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/>
      <name val="Cambria"/>
      <family val="1"/>
    </font>
    <font>
      <b/>
      <sz val="12"/>
      <color theme="1"/>
      <name val="Cambria"/>
      <family val="1"/>
    </font>
    <font>
      <i/>
      <sz val="11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65" fontId="0" fillId="0" borderId="0" xfId="0" applyNumberFormat="1"/>
    <xf numFmtId="0" fontId="11" fillId="0" borderId="2" xfId="0" applyFont="1" applyBorder="1" applyAlignment="1">
      <alignment vertical="center" wrapText="1"/>
    </xf>
    <xf numFmtId="43" fontId="11" fillId="0" borderId="2" xfId="1" applyFont="1" applyBorder="1" applyAlignment="1">
      <alignment horizontal="right" vertical="center" wrapText="1"/>
    </xf>
    <xf numFmtId="43" fontId="8" fillId="0" borderId="2" xfId="1" applyFont="1" applyBorder="1" applyAlignment="1">
      <alignment horizontal="right" wrapText="1"/>
    </xf>
    <xf numFmtId="43" fontId="9" fillId="0" borderId="2" xfId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43" fontId="7" fillId="0" borderId="2" xfId="1" applyFont="1" applyBorder="1" applyAlignment="1">
      <alignment horizontal="right" wrapText="1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4" fontId="12" fillId="2" borderId="0" xfId="0" applyNumberFormat="1" applyFont="1" applyFill="1" applyAlignment="1">
      <alignment horizontal="right" vertical="center" wrapText="1"/>
    </xf>
    <xf numFmtId="164" fontId="12" fillId="2" borderId="0" xfId="0" applyNumberFormat="1" applyFont="1" applyFill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vertical="center" wrapText="1"/>
    </xf>
    <xf numFmtId="4" fontId="0" fillId="0" borderId="0" xfId="0" applyNumberFormat="1"/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wrapText="1"/>
    </xf>
    <xf numFmtId="164" fontId="8" fillId="2" borderId="0" xfId="0" applyNumberFormat="1" applyFont="1" applyFill="1" applyAlignment="1">
      <alignment horizontal="right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164" fontId="7" fillId="0" borderId="22" xfId="0" applyNumberFormat="1" applyFont="1" applyBorder="1" applyAlignment="1">
      <alignment horizontal="right" wrapText="1"/>
    </xf>
    <xf numFmtId="4" fontId="7" fillId="0" borderId="23" xfId="0" applyNumberFormat="1" applyFont="1" applyBorder="1" applyAlignment="1">
      <alignment horizontal="right" wrapText="1"/>
    </xf>
    <xf numFmtId="4" fontId="8" fillId="0" borderId="24" xfId="0" applyNumberFormat="1" applyFont="1" applyBorder="1" applyAlignment="1">
      <alignment horizontal="right" wrapText="1"/>
    </xf>
    <xf numFmtId="4" fontId="7" fillId="2" borderId="26" xfId="0" applyNumberFormat="1" applyFont="1" applyFill="1" applyBorder="1" applyAlignment="1">
      <alignment horizontal="right" vertical="center" wrapText="1"/>
    </xf>
    <xf numFmtId="4" fontId="7" fillId="2" borderId="27" xfId="0" applyNumberFormat="1" applyFont="1" applyFill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wrapText="1"/>
    </xf>
    <xf numFmtId="4" fontId="7" fillId="2" borderId="15" xfId="0" applyNumberFormat="1" applyFont="1" applyFill="1" applyBorder="1" applyAlignment="1">
      <alignment horizontal="right" vertical="center" wrapText="1"/>
    </xf>
    <xf numFmtId="4" fontId="7" fillId="2" borderId="30" xfId="0" applyNumberFormat="1" applyFont="1" applyFill="1" applyBorder="1" applyAlignment="1">
      <alignment horizontal="right" vertical="center" wrapText="1"/>
    </xf>
    <xf numFmtId="4" fontId="8" fillId="4" borderId="28" xfId="0" applyNumberFormat="1" applyFont="1" applyFill="1" applyBorder="1" applyAlignment="1">
      <alignment horizontal="right" wrapText="1"/>
    </xf>
    <xf numFmtId="0" fontId="7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2" fillId="0" borderId="0" xfId="0" applyFont="1"/>
    <xf numFmtId="0" fontId="10" fillId="2" borderId="15" xfId="0" applyFont="1" applyFill="1" applyBorder="1" applyAlignment="1">
      <alignment horizontal="center" vertical="center" wrapText="1"/>
    </xf>
    <xf numFmtId="4" fontId="10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right" vertical="center" wrapText="1"/>
    </xf>
    <xf numFmtId="43" fontId="8" fillId="2" borderId="14" xfId="1" applyFont="1" applyFill="1" applyBorder="1" applyAlignment="1">
      <alignment horizontal="right" vertical="center" wrapText="1"/>
    </xf>
    <xf numFmtId="43" fontId="8" fillId="2" borderId="15" xfId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wrapText="1"/>
    </xf>
    <xf numFmtId="43" fontId="8" fillId="0" borderId="14" xfId="1" applyFont="1" applyBorder="1" applyAlignment="1">
      <alignment horizontal="right" wrapText="1"/>
    </xf>
    <xf numFmtId="0" fontId="11" fillId="2" borderId="15" xfId="0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right" vertical="center" wrapText="1"/>
    </xf>
    <xf numFmtId="43" fontId="8" fillId="2" borderId="15" xfId="1" applyFont="1" applyFill="1" applyBorder="1" applyAlignment="1">
      <alignment horizontal="right" vertical="center" wrapText="1"/>
    </xf>
    <xf numFmtId="0" fontId="5" fillId="5" borderId="0" xfId="0" applyFont="1" applyFill="1" applyAlignment="1">
      <alignment wrapText="1"/>
    </xf>
    <xf numFmtId="0" fontId="9" fillId="6" borderId="3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wrapText="1"/>
    </xf>
    <xf numFmtId="0" fontId="4" fillId="6" borderId="19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wrapText="1"/>
    </xf>
    <xf numFmtId="4" fontId="4" fillId="6" borderId="20" xfId="0" applyNumberFormat="1" applyFont="1" applyFill="1" applyBorder="1" applyAlignment="1">
      <alignment horizontal="left" wrapText="1"/>
    </xf>
    <xf numFmtId="4" fontId="8" fillId="6" borderId="2" xfId="0" applyNumberFormat="1" applyFont="1" applyFill="1" applyBorder="1" applyAlignment="1">
      <alignment horizontal="left" wrapText="1"/>
    </xf>
    <xf numFmtId="0" fontId="8" fillId="6" borderId="21" xfId="0" applyFont="1" applyFill="1" applyBorder="1" applyAlignment="1">
      <alignment wrapText="1"/>
    </xf>
    <xf numFmtId="0" fontId="8" fillId="6" borderId="25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wrapText="1"/>
    </xf>
    <xf numFmtId="0" fontId="8" fillId="6" borderId="31" xfId="0" applyFont="1" applyFill="1" applyBorder="1" applyAlignment="1">
      <alignment wrapText="1"/>
    </xf>
    <xf numFmtId="4" fontId="8" fillId="6" borderId="32" xfId="0" applyNumberFormat="1" applyFont="1" applyFill="1" applyBorder="1" applyAlignment="1">
      <alignment horizontal="right" vertical="center" wrapText="1"/>
    </xf>
    <xf numFmtId="4" fontId="8" fillId="6" borderId="33" xfId="0" applyNumberFormat="1" applyFont="1" applyFill="1" applyBorder="1" applyAlignment="1">
      <alignment horizontal="right" vertical="center" wrapText="1"/>
    </xf>
    <xf numFmtId="4" fontId="8" fillId="6" borderId="34" xfId="0" applyNumberFormat="1" applyFont="1" applyFill="1" applyBorder="1" applyAlignment="1">
      <alignment horizontal="right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justify" vertical="justify" wrapText="1"/>
    </xf>
    <xf numFmtId="0" fontId="7" fillId="2" borderId="35" xfId="0" applyFont="1" applyFill="1" applyBorder="1" applyAlignment="1">
      <alignment horizontal="center" vertical="center"/>
    </xf>
    <xf numFmtId="4" fontId="7" fillId="2" borderId="35" xfId="0" applyNumberFormat="1" applyFont="1" applyFill="1" applyBorder="1" applyAlignment="1">
      <alignment horizontal="center" vertical="center"/>
    </xf>
    <xf numFmtId="4" fontId="10" fillId="2" borderId="36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4" fontId="10" fillId="2" borderId="28" xfId="0" applyNumberFormat="1" applyFont="1" applyFill="1" applyBorder="1" applyAlignment="1">
      <alignment horizontal="center" vertical="center" wrapText="1"/>
    </xf>
    <xf numFmtId="43" fontId="8" fillId="2" borderId="28" xfId="1" applyFont="1" applyFill="1" applyBorder="1" applyAlignment="1">
      <alignment horizontal="center" vertical="center" wrapText="1"/>
    </xf>
    <xf numFmtId="43" fontId="8" fillId="2" borderId="28" xfId="1" applyFont="1" applyFill="1" applyBorder="1" applyAlignment="1">
      <alignment horizontal="right"/>
    </xf>
    <xf numFmtId="0" fontId="6" fillId="2" borderId="14" xfId="0" applyFont="1" applyFill="1" applyBorder="1" applyAlignment="1">
      <alignment wrapText="1"/>
    </xf>
    <xf numFmtId="4" fontId="12" fillId="2" borderId="14" xfId="0" applyNumberFormat="1" applyFont="1" applyFill="1" applyBorder="1" applyAlignment="1">
      <alignment horizontal="right" vertical="center" wrapText="1"/>
    </xf>
    <xf numFmtId="43" fontId="12" fillId="2" borderId="14" xfId="1" applyFont="1" applyFill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" fontId="10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6" fontId="8" fillId="2" borderId="15" xfId="1" applyNumberFormat="1" applyFont="1" applyFill="1" applyBorder="1" applyAlignment="1">
      <alignment horizontal="center" vertical="center"/>
    </xf>
    <xf numFmtId="43" fontId="8" fillId="2" borderId="15" xfId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right" vertical="center" wrapText="1"/>
    </xf>
    <xf numFmtId="43" fontId="12" fillId="2" borderId="15" xfId="1" applyFont="1" applyFill="1" applyBorder="1" applyAlignment="1">
      <alignment horizontal="right" vertical="center" wrapText="1"/>
    </xf>
    <xf numFmtId="0" fontId="8" fillId="6" borderId="13" xfId="0" applyFont="1" applyFill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0" fontId="15" fillId="0" borderId="15" xfId="0" applyFont="1" applyBorder="1" applyAlignment="1">
      <alignment wrapText="1"/>
    </xf>
    <xf numFmtId="0" fontId="8" fillId="6" borderId="14" xfId="0" applyFont="1" applyFill="1" applyBorder="1" applyAlignment="1">
      <alignment horizontal="center"/>
    </xf>
    <xf numFmtId="43" fontId="8" fillId="2" borderId="14" xfId="1" applyFont="1" applyFill="1" applyBorder="1" applyAlignment="1">
      <alignment horizontal="center"/>
    </xf>
    <xf numFmtId="0" fontId="7" fillId="2" borderId="15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/>
    </xf>
    <xf numFmtId="4" fontId="10" fillId="0" borderId="15" xfId="0" quotePrefix="1" applyNumberFormat="1" applyFont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justify" wrapText="1"/>
    </xf>
    <xf numFmtId="0" fontId="7" fillId="6" borderId="29" xfId="0" applyFont="1" applyFill="1" applyBorder="1" applyAlignment="1">
      <alignment horizontal="center" vertical="center"/>
    </xf>
    <xf numFmtId="4" fontId="7" fillId="2" borderId="28" xfId="0" applyNumberFormat="1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4" fontId="10" fillId="3" borderId="28" xfId="0" applyNumberFormat="1" applyFont="1" applyFill="1" applyBorder="1" applyAlignment="1">
      <alignment horizontal="center" vertical="center"/>
    </xf>
    <xf numFmtId="10" fontId="7" fillId="0" borderId="0" xfId="0" applyNumberFormat="1" applyFont="1"/>
    <xf numFmtId="10" fontId="7" fillId="2" borderId="0" xfId="0" applyNumberFormat="1" applyFont="1" applyFill="1" applyAlignment="1">
      <alignment wrapText="1"/>
    </xf>
    <xf numFmtId="9" fontId="8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9" fontId="7" fillId="0" borderId="22" xfId="0" applyNumberFormat="1" applyFont="1" applyBorder="1" applyAlignment="1">
      <alignment horizontal="right" wrapText="1"/>
    </xf>
    <xf numFmtId="9" fontId="7" fillId="0" borderId="23" xfId="0" applyNumberFormat="1" applyFont="1" applyBorder="1" applyAlignment="1">
      <alignment horizontal="right" wrapText="1"/>
    </xf>
    <xf numFmtId="9" fontId="8" fillId="0" borderId="24" xfId="0" applyNumberFormat="1" applyFont="1" applyBorder="1" applyAlignment="1">
      <alignment horizontal="right" wrapText="1"/>
    </xf>
    <xf numFmtId="9" fontId="8" fillId="6" borderId="32" xfId="0" applyNumberFormat="1" applyFont="1" applyFill="1" applyBorder="1" applyAlignment="1">
      <alignment horizontal="right" vertical="center" wrapText="1"/>
    </xf>
    <xf numFmtId="9" fontId="8" fillId="6" borderId="33" xfId="0" applyNumberFormat="1" applyFont="1" applyFill="1" applyBorder="1" applyAlignment="1">
      <alignment horizontal="right" vertical="center" wrapText="1"/>
    </xf>
    <xf numFmtId="9" fontId="8" fillId="6" borderId="34" xfId="0" applyNumberFormat="1" applyFont="1" applyFill="1" applyBorder="1" applyAlignment="1">
      <alignment horizontal="right" wrapText="1"/>
    </xf>
    <xf numFmtId="0" fontId="4" fillId="6" borderId="19" xfId="0" applyFont="1" applyFill="1" applyBorder="1"/>
    <xf numFmtId="4" fontId="4" fillId="6" borderId="20" xfId="0" applyNumberFormat="1" applyFont="1" applyFill="1" applyBorder="1" applyAlignment="1">
      <alignment horizontal="left"/>
    </xf>
    <xf numFmtId="0" fontId="8" fillId="6" borderId="21" xfId="0" applyFont="1" applyFill="1" applyBorder="1"/>
    <xf numFmtId="0" fontId="8" fillId="6" borderId="25" xfId="0" applyFont="1" applyFill="1" applyBorder="1" applyAlignment="1">
      <alignment horizontal="left"/>
    </xf>
    <xf numFmtId="167" fontId="7" fillId="0" borderId="22" xfId="0" applyNumberFormat="1" applyFont="1" applyBorder="1" applyAlignment="1">
      <alignment horizontal="right" wrapText="1"/>
    </xf>
    <xf numFmtId="3" fontId="8" fillId="6" borderId="32" xfId="0" applyNumberFormat="1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right" wrapText="1"/>
    </xf>
    <xf numFmtId="0" fontId="7" fillId="2" borderId="26" xfId="0" applyFont="1" applyFill="1" applyBorder="1" applyAlignment="1">
      <alignment horizontal="right" vertical="center" wrapText="1"/>
    </xf>
    <xf numFmtId="43" fontId="7" fillId="2" borderId="15" xfId="1" applyFont="1" applyFill="1" applyBorder="1" applyAlignment="1">
      <alignment horizontal="right" vertical="center" wrapText="1"/>
    </xf>
    <xf numFmtId="43" fontId="7" fillId="2" borderId="26" xfId="1" applyFont="1" applyFill="1" applyBorder="1" applyAlignment="1">
      <alignment horizontal="right" vertical="center" wrapText="1"/>
    </xf>
    <xf numFmtId="10" fontId="7" fillId="0" borderId="22" xfId="0" applyNumberFormat="1" applyFont="1" applyBorder="1" applyAlignment="1">
      <alignment horizontal="right" wrapText="1"/>
    </xf>
    <xf numFmtId="10" fontId="7" fillId="2" borderId="26" xfId="0" applyNumberFormat="1" applyFont="1" applyFill="1" applyBorder="1" applyAlignment="1">
      <alignment horizontal="right" vertical="center" wrapText="1"/>
    </xf>
    <xf numFmtId="10" fontId="8" fillId="0" borderId="28" xfId="0" applyNumberFormat="1" applyFont="1" applyBorder="1" applyAlignment="1">
      <alignment horizontal="right" wrapText="1"/>
    </xf>
    <xf numFmtId="10" fontId="7" fillId="2" borderId="15" xfId="0" applyNumberFormat="1" applyFont="1" applyFill="1" applyBorder="1" applyAlignment="1">
      <alignment horizontal="right" vertical="center" wrapText="1"/>
    </xf>
    <xf numFmtId="10" fontId="8" fillId="2" borderId="28" xfId="0" applyNumberFormat="1" applyFont="1" applyFill="1" applyBorder="1" applyAlignment="1">
      <alignment horizontal="right" wrapText="1"/>
    </xf>
    <xf numFmtId="10" fontId="8" fillId="6" borderId="32" xfId="0" applyNumberFormat="1" applyFont="1" applyFill="1" applyBorder="1" applyAlignment="1">
      <alignment horizontal="right" vertical="center" wrapText="1"/>
    </xf>
    <xf numFmtId="167" fontId="7" fillId="2" borderId="26" xfId="0" applyNumberFormat="1" applyFont="1" applyFill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wrapText="1"/>
    </xf>
    <xf numFmtId="3" fontId="7" fillId="2" borderId="27" xfId="0" applyNumberFormat="1" applyFont="1" applyFill="1" applyBorder="1" applyAlignment="1">
      <alignment horizontal="right" vertical="center" wrapText="1"/>
    </xf>
    <xf numFmtId="3" fontId="8" fillId="0" borderId="24" xfId="0" applyNumberFormat="1" applyFont="1" applyBorder="1" applyAlignment="1">
      <alignment horizontal="right" wrapText="1"/>
    </xf>
    <xf numFmtId="9" fontId="7" fillId="2" borderId="26" xfId="0" applyNumberFormat="1" applyFont="1" applyFill="1" applyBorder="1" applyAlignment="1">
      <alignment horizontal="right" vertical="center" wrapText="1"/>
    </xf>
    <xf numFmtId="9" fontId="7" fillId="2" borderId="27" xfId="0" applyNumberFormat="1" applyFont="1" applyFill="1" applyBorder="1" applyAlignment="1">
      <alignment horizontal="right" vertical="center" wrapText="1"/>
    </xf>
    <xf numFmtId="9" fontId="7" fillId="2" borderId="30" xfId="0" applyNumberFormat="1" applyFont="1" applyFill="1" applyBorder="1" applyAlignment="1">
      <alignment horizontal="right" vertical="center" wrapText="1"/>
    </xf>
    <xf numFmtId="10" fontId="8" fillId="6" borderId="33" xfId="0" applyNumberFormat="1" applyFont="1" applyFill="1" applyBorder="1" applyAlignment="1">
      <alignment horizontal="right" vertical="center" wrapText="1"/>
    </xf>
    <xf numFmtId="10" fontId="8" fillId="6" borderId="34" xfId="0" applyNumberFormat="1" applyFont="1" applyFill="1" applyBorder="1" applyAlignment="1">
      <alignment horizontal="right" wrapText="1"/>
    </xf>
    <xf numFmtId="9" fontId="8" fillId="0" borderId="28" xfId="0" applyNumberFormat="1" applyFont="1" applyBorder="1" applyAlignment="1">
      <alignment horizontal="right" wrapText="1"/>
    </xf>
    <xf numFmtId="9" fontId="8" fillId="0" borderId="28" xfId="0" applyNumberFormat="1" applyFont="1" applyBorder="1" applyAlignment="1">
      <alignment horizontal="right" wrapText="1" indent="1"/>
    </xf>
    <xf numFmtId="9" fontId="8" fillId="7" borderId="28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43" fontId="0" fillId="0" borderId="0" xfId="1" applyFont="1"/>
    <xf numFmtId="43" fontId="19" fillId="0" borderId="0" xfId="1" applyFont="1" applyBorder="1" applyAlignment="1">
      <alignment horizontal="center"/>
    </xf>
    <xf numFmtId="43" fontId="8" fillId="6" borderId="18" xfId="1" applyFont="1" applyFill="1" applyBorder="1" applyAlignment="1">
      <alignment wrapText="1"/>
    </xf>
    <xf numFmtId="43" fontId="8" fillId="6" borderId="21" xfId="1" applyFont="1" applyFill="1" applyBorder="1" applyAlignment="1">
      <alignment wrapText="1"/>
    </xf>
    <xf numFmtId="43" fontId="8" fillId="6" borderId="25" xfId="1" applyFont="1" applyFill="1" applyBorder="1" applyAlignment="1">
      <alignment horizontal="center" wrapText="1"/>
    </xf>
    <xf numFmtId="43" fontId="8" fillId="6" borderId="29" xfId="1" applyFont="1" applyFill="1" applyBorder="1" applyAlignment="1">
      <alignment wrapText="1"/>
    </xf>
    <xf numFmtId="43" fontId="8" fillId="6" borderId="31" xfId="1" applyFont="1" applyFill="1" applyBorder="1" applyAlignment="1">
      <alignment wrapText="1"/>
    </xf>
    <xf numFmtId="43" fontId="8" fillId="6" borderId="21" xfId="1" applyFont="1" applyFill="1" applyBorder="1" applyAlignment="1"/>
    <xf numFmtId="43" fontId="8" fillId="6" borderId="25" xfId="1" applyFont="1" applyFill="1" applyBorder="1" applyAlignment="1">
      <alignment horizontal="left"/>
    </xf>
    <xf numFmtId="43" fontId="2" fillId="0" borderId="0" xfId="1" applyFont="1"/>
    <xf numFmtId="0" fontId="0" fillId="0" borderId="0" xfId="0" applyAlignment="1">
      <alignment horizontal="center" vertical="center" wrapText="1"/>
    </xf>
    <xf numFmtId="0" fontId="19" fillId="0" borderId="16" xfId="0" applyFont="1" applyBorder="1" applyAlignment="1">
      <alignment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top" wrapText="1"/>
    </xf>
    <xf numFmtId="43" fontId="19" fillId="0" borderId="13" xfId="1" applyFont="1" applyBorder="1" applyAlignment="1">
      <alignment wrapText="1"/>
    </xf>
    <xf numFmtId="43" fontId="8" fillId="2" borderId="0" xfId="1" applyFont="1" applyFill="1" applyBorder="1" applyAlignment="1">
      <alignment horizontal="center"/>
    </xf>
    <xf numFmtId="4" fontId="7" fillId="2" borderId="37" xfId="0" applyNumberFormat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6" borderId="25" xfId="0" applyFont="1" applyFill="1" applyBorder="1" applyAlignment="1">
      <alignment wrapText="1"/>
    </xf>
    <xf numFmtId="4" fontId="8" fillId="4" borderId="37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wrapText="1"/>
    </xf>
    <xf numFmtId="4" fontId="8" fillId="2" borderId="0" xfId="0" applyNumberFormat="1" applyFont="1" applyFill="1" applyAlignment="1">
      <alignment horizontal="right" wrapText="1"/>
    </xf>
    <xf numFmtId="4" fontId="8" fillId="6" borderId="19" xfId="0" applyNumberFormat="1" applyFont="1" applyFill="1" applyBorder="1" applyAlignment="1">
      <alignment horizontal="right" vertical="center" wrapText="1"/>
    </xf>
    <xf numFmtId="4" fontId="8" fillId="6" borderId="20" xfId="0" applyNumberFormat="1" applyFont="1" applyFill="1" applyBorder="1" applyAlignment="1">
      <alignment horizontal="right" vertical="center" wrapText="1"/>
    </xf>
    <xf numFmtId="4" fontId="8" fillId="6" borderId="38" xfId="0" applyNumberFormat="1" applyFont="1" applyFill="1" applyBorder="1" applyAlignment="1">
      <alignment horizontal="right" wrapText="1"/>
    </xf>
    <xf numFmtId="43" fontId="8" fillId="6" borderId="25" xfId="1" applyFont="1" applyFill="1" applyBorder="1" applyAlignment="1">
      <alignment wrapText="1"/>
    </xf>
    <xf numFmtId="4" fontId="8" fillId="6" borderId="39" xfId="0" applyNumberFormat="1" applyFont="1" applyFill="1" applyBorder="1" applyAlignment="1">
      <alignment horizontal="right" wrapText="1"/>
    </xf>
    <xf numFmtId="4" fontId="8" fillId="6" borderId="3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167" fontId="7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43" fontId="8" fillId="2" borderId="0" xfId="1" applyFont="1" applyFill="1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4" fontId="4" fillId="2" borderId="0" xfId="0" applyNumberFormat="1" applyFont="1" applyFill="1" applyAlignment="1">
      <alignment horizontal="left" wrapText="1"/>
    </xf>
    <xf numFmtId="4" fontId="8" fillId="2" borderId="0" xfId="0" applyNumberFormat="1" applyFont="1" applyFill="1" applyAlignment="1">
      <alignment horizontal="left" wrapText="1"/>
    </xf>
    <xf numFmtId="43" fontId="8" fillId="2" borderId="0" xfId="1" applyFont="1" applyFill="1" applyBorder="1" applyAlignment="1"/>
    <xf numFmtId="0" fontId="7" fillId="2" borderId="0" xfId="0" applyFont="1" applyFill="1" applyAlignment="1">
      <alignment horizontal="right" wrapText="1"/>
    </xf>
    <xf numFmtId="167" fontId="7" fillId="2" borderId="0" xfId="0" applyNumberFormat="1" applyFont="1" applyFill="1" applyAlignment="1">
      <alignment horizontal="right" wrapText="1"/>
    </xf>
    <xf numFmtId="3" fontId="7" fillId="2" borderId="0" xfId="0" applyNumberFormat="1" applyFont="1" applyFill="1" applyAlignment="1">
      <alignment horizontal="right" wrapText="1"/>
    </xf>
    <xf numFmtId="3" fontId="8" fillId="2" borderId="0" xfId="0" applyNumberFormat="1" applyFont="1" applyFill="1" applyAlignment="1">
      <alignment horizontal="right" wrapText="1"/>
    </xf>
    <xf numFmtId="43" fontId="8" fillId="2" borderId="0" xfId="1" applyFont="1" applyFill="1" applyBorder="1" applyAlignment="1">
      <alignment horizontal="left"/>
    </xf>
    <xf numFmtId="0" fontId="8" fillId="6" borderId="25" xfId="0" applyFont="1" applyFill="1" applyBorder="1" applyAlignment="1">
      <alignment horizontal="left" wrapText="1"/>
    </xf>
    <xf numFmtId="9" fontId="7" fillId="2" borderId="15" xfId="0" applyNumberFormat="1" applyFont="1" applyFill="1" applyBorder="1" applyAlignment="1">
      <alignment horizontal="right" vertical="center" wrapText="1"/>
    </xf>
    <xf numFmtId="9" fontId="8" fillId="2" borderId="28" xfId="0" applyNumberFormat="1" applyFont="1" applyFill="1" applyBorder="1" applyAlignment="1">
      <alignment horizontal="right" wrapText="1"/>
    </xf>
    <xf numFmtId="43" fontId="19" fillId="0" borderId="0" xfId="1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left"/>
    </xf>
    <xf numFmtId="0" fontId="8" fillId="6" borderId="29" xfId="0" applyFont="1" applyFill="1" applyBorder="1"/>
    <xf numFmtId="4" fontId="7" fillId="0" borderId="15" xfId="0" quotePrefix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43" fontId="0" fillId="0" borderId="0" xfId="0" applyNumberFormat="1"/>
    <xf numFmtId="0" fontId="8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wrapText="1"/>
    </xf>
    <xf numFmtId="0" fontId="7" fillId="2" borderId="2" xfId="0" applyFont="1" applyFill="1" applyBorder="1" applyAlignment="1">
      <alignment horizontal="justify" vertical="justify" wrapText="1"/>
    </xf>
    <xf numFmtId="0" fontId="7" fillId="6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wrapText="1"/>
    </xf>
    <xf numFmtId="2" fontId="6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9" fontId="8" fillId="2" borderId="29" xfId="0" applyNumberFormat="1" applyFont="1" applyFill="1" applyBorder="1" applyAlignment="1">
      <alignment horizontal="center" vertical="center" wrapText="1"/>
    </xf>
    <xf numFmtId="9" fontId="8" fillId="2" borderId="1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wrapText="1"/>
    </xf>
    <xf numFmtId="0" fontId="19" fillId="6" borderId="13" xfId="0" applyFont="1" applyFill="1" applyBorder="1" applyAlignment="1">
      <alignment horizontal="center"/>
    </xf>
    <xf numFmtId="0" fontId="19" fillId="6" borderId="16" xfId="0" applyFont="1" applyFill="1" applyBorder="1" applyAlignment="1">
      <alignment horizontal="center"/>
    </xf>
    <xf numFmtId="0" fontId="19" fillId="6" borderId="17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8" fillId="0" borderId="13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3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 vertical="center" wrapText="1"/>
    </xf>
    <xf numFmtId="4" fontId="8" fillId="6" borderId="2" xfId="0" applyNumberFormat="1" applyFont="1" applyFill="1" applyBorder="1" applyAlignment="1">
      <alignment horizontal="center" wrapText="1"/>
    </xf>
    <xf numFmtId="4" fontId="8" fillId="4" borderId="2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left"/>
    </xf>
    <xf numFmtId="0" fontId="8" fillId="7" borderId="13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wrapText="1"/>
    </xf>
    <xf numFmtId="0" fontId="8" fillId="7" borderId="16" xfId="0" applyFont="1" applyFill="1" applyBorder="1" applyAlignment="1">
      <alignment horizontal="center" wrapText="1"/>
    </xf>
    <xf numFmtId="0" fontId="8" fillId="7" borderId="17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B43DCB9E-DAFD-4F1C-948D-098E386D4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1CFB35FF-FB22-453A-9877-6EA29309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csanquintin_coniaf_gob_do/Documents/Documentos/DEPARTAMENTO%20DE%20PLANIFICACION/TRANSFERENCIAS%20DE%20TECNOLOGIAS/PROGRAMACION%20ACTIVIDADES%20DE%20TRANSFERENCIAS/PROGRAMACION%20DE%20LA%20EJECUCION%202024/TOTAL%20CONIAF/PROGRAMACI&#211;N%20%20PRESUPUESTO%20ENERO-MARZO%202024.xlsx?BAB909BB" TargetMode="External"/><Relationship Id="rId1" Type="http://schemas.openxmlformats.org/officeDocument/2006/relationships/externalLinkPath" Target="file:///\\BAB909BB\PROGRAMACI&#211;N%20%20PRESUPUESTO%20ENERO-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MARZO"/>
      <sheetName val="ENERO"/>
      <sheetName val="FEBRERO"/>
      <sheetName val="MARZO"/>
    </sheetNames>
    <sheetDataSet>
      <sheetData sheetId="0"/>
      <sheetData sheetId="1"/>
      <sheetData sheetId="2">
        <row r="36">
          <cell r="A36">
            <v>1</v>
          </cell>
        </row>
        <row r="37">
          <cell r="A37">
            <v>1</v>
          </cell>
        </row>
        <row r="38">
          <cell r="A38">
            <v>0</v>
          </cell>
        </row>
        <row r="39">
          <cell r="G39">
            <v>24</v>
          </cell>
          <cell r="H39">
            <v>14</v>
          </cell>
          <cell r="I39">
            <v>2</v>
          </cell>
          <cell r="M39">
            <v>68032</v>
          </cell>
          <cell r="N39">
            <v>32800</v>
          </cell>
        </row>
        <row r="50">
          <cell r="A50">
            <v>1</v>
          </cell>
        </row>
        <row r="51">
          <cell r="A51">
            <v>1</v>
          </cell>
          <cell r="H51">
            <v>25</v>
          </cell>
          <cell r="I51">
            <v>5</v>
          </cell>
        </row>
        <row r="52">
          <cell r="G52">
            <v>16</v>
          </cell>
          <cell r="M52">
            <v>40000</v>
          </cell>
          <cell r="N52">
            <v>79800</v>
          </cell>
        </row>
        <row r="67">
          <cell r="A67">
            <v>6</v>
          </cell>
          <cell r="G67">
            <v>96</v>
          </cell>
          <cell r="H67">
            <v>0</v>
          </cell>
          <cell r="I67">
            <v>0</v>
          </cell>
          <cell r="M67">
            <v>0</v>
          </cell>
          <cell r="N67">
            <v>34200</v>
          </cell>
        </row>
        <row r="77">
          <cell r="A77">
            <v>2</v>
          </cell>
        </row>
        <row r="78">
          <cell r="A78">
            <v>1</v>
          </cell>
          <cell r="H78">
            <v>26</v>
          </cell>
          <cell r="I78">
            <v>4</v>
          </cell>
        </row>
        <row r="79">
          <cell r="G79">
            <v>16</v>
          </cell>
          <cell r="M79">
            <v>25000</v>
          </cell>
          <cell r="N79">
            <v>63000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547EFCDC-681C-47AD-A28E-343C6FA15F63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9" dT="2022-12-27T13:28:24.76" personId="{547EFCDC-681C-47AD-A28E-343C6FA15F63}" id="{C754802A-DF80-4A8B-BCDB-C1F0E24A2A8D}">
    <text>Debes dar el detalle, si fue una visita de seguimiento y si el técnico le compaño, sus recomendaciones de seguimiento, de acuerdo a la justificación de la solicitud del viatico y pago a facilitador.</text>
  </threadedComment>
  <threadedComment ref="C21" dT="2022-12-27T13:28:24.76" personId="{547EFCDC-681C-47AD-A28E-343C6FA15F63}" id="{3C8FB7D3-26E3-4779-A8EB-2D29B33DC59F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9" dT="2022-12-27T13:28:24.76" personId="{547EFCDC-681C-47AD-A28E-343C6FA15F63}" id="{4965D9A1-A6C4-4724-8748-7BC5F31EBFCC}">
    <text>Debes dar el detalle, si fue una visita de seguimiento y si el técnico le compaño, sus recomendaciones de seguimiento, de acuerdo a la justificación de la solicitud del viatico y pago a facilitador.</text>
  </threadedComment>
  <threadedComment ref="C21" dT="2022-12-27T13:28:24.76" personId="{547EFCDC-681C-47AD-A28E-343C6FA15F63}" id="{03E54423-4102-48BB-9E40-C4E1817EB137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8DE2-9C29-41DE-9D31-ADA4138A2123}">
  <dimension ref="A1:U146"/>
  <sheetViews>
    <sheetView tabSelected="1" zoomScale="80" zoomScaleNormal="80" workbookViewId="0">
      <selection activeCell="R11" sqref="R11"/>
    </sheetView>
  </sheetViews>
  <sheetFormatPr baseColWidth="10" defaultColWidth="11.42578125" defaultRowHeight="15" x14ac:dyDescent="0.25"/>
  <cols>
    <col min="1" max="1" width="4" customWidth="1"/>
    <col min="2" max="2" width="17.42578125" customWidth="1"/>
    <col min="3" max="3" width="43.42578125" customWidth="1"/>
    <col min="4" max="4" width="19.140625" customWidth="1"/>
    <col min="5" max="5" width="15.140625" customWidth="1"/>
    <col min="6" max="6" width="13.140625" customWidth="1"/>
    <col min="7" max="7" width="14.28515625" customWidth="1"/>
    <col min="8" max="8" width="10" customWidth="1"/>
    <col min="9" max="9" width="18" customWidth="1"/>
    <col min="10" max="10" width="20" customWidth="1"/>
    <col min="11" max="11" width="18" customWidth="1"/>
    <col min="12" max="12" width="20.42578125" customWidth="1"/>
    <col min="13" max="13" width="19.7109375" customWidth="1"/>
    <col min="14" max="14" width="16.140625" customWidth="1"/>
    <col min="15" max="15" width="17.7109375" customWidth="1"/>
    <col min="16" max="16" width="22.85546875" style="167" customWidth="1"/>
    <col min="17" max="17" width="16.5703125" customWidth="1"/>
    <col min="18" max="18" width="15" customWidth="1"/>
    <col min="19" max="19" width="17" customWidth="1"/>
    <col min="20" max="20" width="17.28515625" customWidth="1"/>
    <col min="21" max="21" width="17.5703125" customWidth="1"/>
  </cols>
  <sheetData>
    <row r="1" spans="1:15" ht="18" x14ac:dyDescent="0.25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5" ht="6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ht="15.75" x14ac:dyDescent="0.25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</row>
    <row r="5" spans="1:15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x14ac:dyDescent="0.25">
      <c r="A6" s="233" t="s">
        <v>3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8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 x14ac:dyDescent="0.25">
      <c r="A8" s="234" t="s">
        <v>4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4"/>
    </row>
    <row r="9" spans="1:15" ht="18" customHeight="1" x14ac:dyDescent="0.25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4"/>
    </row>
    <row r="10" spans="1:15" ht="18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" customHeight="1" x14ac:dyDescent="0.25">
      <c r="A11" s="235" t="s">
        <v>5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</row>
    <row r="12" spans="1: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5"/>
    </row>
    <row r="14" spans="1:15" ht="15.75" customHeight="1" thickBot="1" x14ac:dyDescent="0.3">
      <c r="A14" s="245" t="s">
        <v>6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</row>
    <row r="15" spans="1:15" ht="27" customHeight="1" thickBot="1" x14ac:dyDescent="0.3">
      <c r="A15" s="246" t="s">
        <v>7</v>
      </c>
      <c r="B15" s="249" t="s">
        <v>8</v>
      </c>
      <c r="C15" s="250"/>
      <c r="D15" s="236" t="s">
        <v>9</v>
      </c>
      <c r="E15" s="236" t="s">
        <v>10</v>
      </c>
      <c r="F15" s="236" t="s">
        <v>11</v>
      </c>
      <c r="G15" s="236" t="s">
        <v>12</v>
      </c>
      <c r="H15" s="249" t="s">
        <v>13</v>
      </c>
      <c r="I15" s="250"/>
      <c r="J15" s="236" t="s">
        <v>14</v>
      </c>
      <c r="K15" s="83"/>
      <c r="L15" s="83"/>
      <c r="M15" s="236" t="s">
        <v>15</v>
      </c>
      <c r="N15" s="236" t="s">
        <v>16</v>
      </c>
      <c r="O15" s="238" t="s">
        <v>17</v>
      </c>
    </row>
    <row r="16" spans="1:15" ht="5.25" customHeight="1" thickBot="1" x14ac:dyDescent="0.3">
      <c r="A16" s="247"/>
      <c r="B16" s="251"/>
      <c r="C16" s="252"/>
      <c r="D16" s="237"/>
      <c r="E16" s="237"/>
      <c r="F16" s="237"/>
      <c r="G16" s="253"/>
      <c r="H16" s="66" t="s">
        <v>18</v>
      </c>
      <c r="I16" s="236" t="s">
        <v>19</v>
      </c>
      <c r="J16" s="254"/>
      <c r="K16" s="86"/>
      <c r="L16" s="86"/>
      <c r="M16" s="254"/>
      <c r="N16" s="237"/>
      <c r="O16" s="239"/>
    </row>
    <row r="17" spans="1:20" ht="38.25" customHeight="1" thickBot="1" x14ac:dyDescent="0.3">
      <c r="A17" s="248"/>
      <c r="B17" s="83" t="s">
        <v>20</v>
      </c>
      <c r="C17" s="85" t="s">
        <v>21</v>
      </c>
      <c r="D17" s="237"/>
      <c r="E17" s="237"/>
      <c r="F17" s="237"/>
      <c r="G17" s="253"/>
      <c r="H17" s="67" t="s">
        <v>22</v>
      </c>
      <c r="I17" s="237"/>
      <c r="J17" s="254"/>
      <c r="K17" s="84" t="s">
        <v>23</v>
      </c>
      <c r="L17" s="84" t="s">
        <v>24</v>
      </c>
      <c r="M17" s="254"/>
      <c r="N17" s="237"/>
      <c r="O17" s="240"/>
      <c r="P17" s="214"/>
      <c r="Q17" s="215"/>
      <c r="R17" s="216"/>
      <c r="S17" s="217"/>
    </row>
    <row r="18" spans="1:20" ht="57" hidden="1" customHeight="1" x14ac:dyDescent="0.25">
      <c r="A18" s="123">
        <v>0</v>
      </c>
      <c r="B18" s="52" t="s">
        <v>25</v>
      </c>
      <c r="C18" s="117" t="s">
        <v>26</v>
      </c>
      <c r="D18" s="52" t="s">
        <v>27</v>
      </c>
      <c r="E18" s="88"/>
      <c r="F18" s="118" t="s">
        <v>28</v>
      </c>
      <c r="G18" s="54"/>
      <c r="H18" s="54"/>
      <c r="I18" s="54"/>
      <c r="J18" s="55">
        <f>600000/2</f>
        <v>300000</v>
      </c>
      <c r="K18" s="55"/>
      <c r="L18" s="55"/>
      <c r="M18" s="55"/>
      <c r="N18" s="55"/>
      <c r="O18" s="218">
        <f>M18+N18</f>
        <v>0</v>
      </c>
      <c r="Q18" s="20"/>
    </row>
    <row r="19" spans="1:20" ht="74.25" hidden="1" x14ac:dyDescent="0.25">
      <c r="A19" s="123">
        <v>0</v>
      </c>
      <c r="B19" s="52" t="s">
        <v>29</v>
      </c>
      <c r="C19" s="117" t="s">
        <v>30</v>
      </c>
      <c r="D19" s="52" t="s">
        <v>27</v>
      </c>
      <c r="E19" s="88"/>
      <c r="F19" s="118" t="s">
        <v>31</v>
      </c>
      <c r="G19" s="54"/>
      <c r="H19" s="54"/>
      <c r="I19" s="54"/>
      <c r="J19" s="55">
        <v>500000</v>
      </c>
      <c r="K19" s="55"/>
      <c r="L19" s="55"/>
      <c r="M19" s="55"/>
      <c r="N19" s="55"/>
      <c r="O19" s="124">
        <f t="shared" ref="O19:O23" si="0">M19+N19</f>
        <v>0</v>
      </c>
      <c r="P19" s="167">
        <f>O19+O21</f>
        <v>0</v>
      </c>
      <c r="Q19" s="7"/>
    </row>
    <row r="20" spans="1:20" ht="57" hidden="1" x14ac:dyDescent="0.25">
      <c r="A20" s="123">
        <v>0</v>
      </c>
      <c r="B20" s="52" t="s">
        <v>32</v>
      </c>
      <c r="C20" s="117" t="s">
        <v>33</v>
      </c>
      <c r="D20" s="52" t="s">
        <v>27</v>
      </c>
      <c r="E20" s="88"/>
      <c r="F20" s="118" t="s">
        <v>31</v>
      </c>
      <c r="G20" s="54"/>
      <c r="H20" s="54"/>
      <c r="I20" s="54"/>
      <c r="J20" s="221">
        <f>1070000/2</f>
        <v>535000</v>
      </c>
      <c r="K20" s="55"/>
      <c r="L20" s="55"/>
      <c r="M20" s="55"/>
      <c r="N20" s="55"/>
      <c r="O20" s="124">
        <f t="shared" si="0"/>
        <v>0</v>
      </c>
      <c r="Q20" s="7"/>
      <c r="R20" s="176"/>
      <c r="S20" s="7">
        <f>Q20+R20</f>
        <v>0</v>
      </c>
    </row>
    <row r="21" spans="1:20" ht="74.25" hidden="1" x14ac:dyDescent="0.25">
      <c r="A21" s="123">
        <v>0</v>
      </c>
      <c r="B21" s="52" t="s">
        <v>29</v>
      </c>
      <c r="C21" s="117" t="s">
        <v>30</v>
      </c>
      <c r="D21" s="52" t="s">
        <v>27</v>
      </c>
      <c r="E21" s="88"/>
      <c r="F21" s="118" t="s">
        <v>31</v>
      </c>
      <c r="G21" s="54"/>
      <c r="H21" s="54"/>
      <c r="I21" s="54"/>
      <c r="J21" s="55"/>
      <c r="K21" s="55"/>
      <c r="L21" s="55"/>
      <c r="M21" s="55"/>
      <c r="N21" s="55"/>
      <c r="O21" s="124">
        <f t="shared" si="0"/>
        <v>0</v>
      </c>
      <c r="Q21" s="20"/>
      <c r="S21" s="20"/>
    </row>
    <row r="22" spans="1:20" ht="72.75" hidden="1" x14ac:dyDescent="0.25">
      <c r="A22" s="123">
        <v>0</v>
      </c>
      <c r="B22" s="52" t="s">
        <v>32</v>
      </c>
      <c r="C22" s="117" t="s">
        <v>34</v>
      </c>
      <c r="D22" s="50" t="s">
        <v>27</v>
      </c>
      <c r="E22" s="88"/>
      <c r="F22" s="52" t="s">
        <v>35</v>
      </c>
      <c r="G22" s="54"/>
      <c r="H22" s="119"/>
      <c r="I22" s="119"/>
      <c r="J22" s="120"/>
      <c r="K22" s="55"/>
      <c r="L22" s="55"/>
      <c r="M22" s="121"/>
      <c r="N22" s="55"/>
      <c r="O22" s="124">
        <f t="shared" si="0"/>
        <v>0</v>
      </c>
      <c r="Q22" s="20"/>
      <c r="R22" s="20"/>
      <c r="S22" s="20"/>
      <c r="T22" s="20"/>
    </row>
    <row r="23" spans="1:20" ht="89.25" thickBot="1" x14ac:dyDescent="0.3">
      <c r="A23" s="123">
        <v>1</v>
      </c>
      <c r="B23" s="52" t="s">
        <v>36</v>
      </c>
      <c r="C23" s="122" t="s">
        <v>37</v>
      </c>
      <c r="D23" s="50" t="s">
        <v>27</v>
      </c>
      <c r="E23" s="88" t="s">
        <v>139</v>
      </c>
      <c r="F23" s="52" t="s">
        <v>38</v>
      </c>
      <c r="G23" s="54">
        <v>8</v>
      </c>
      <c r="H23" s="54"/>
      <c r="I23" s="54"/>
      <c r="J23" s="120">
        <v>650000</v>
      </c>
      <c r="K23" s="55">
        <v>2100</v>
      </c>
      <c r="L23" s="55">
        <v>7125</v>
      </c>
      <c r="M23" s="55"/>
      <c r="N23" s="55">
        <v>10414.040000000001</v>
      </c>
      <c r="O23" s="124">
        <f t="shared" si="0"/>
        <v>10414.040000000001</v>
      </c>
      <c r="Q23" s="7"/>
      <c r="R23" s="20"/>
      <c r="S23" s="20"/>
    </row>
    <row r="24" spans="1:20" ht="89.25" hidden="1" thickBot="1" x14ac:dyDescent="0.3">
      <c r="A24" s="123">
        <v>0</v>
      </c>
      <c r="B24" s="52" t="s">
        <v>39</v>
      </c>
      <c r="C24" s="117" t="s">
        <v>40</v>
      </c>
      <c r="D24" s="52" t="s">
        <v>27</v>
      </c>
      <c r="E24" s="88"/>
      <c r="F24" s="52" t="s">
        <v>41</v>
      </c>
      <c r="G24" s="54"/>
      <c r="H24" s="54"/>
      <c r="I24" s="119"/>
      <c r="J24" s="55">
        <v>280000</v>
      </c>
      <c r="K24" s="55">
        <v>0</v>
      </c>
      <c r="L24" s="55">
        <v>0</v>
      </c>
      <c r="M24" s="55"/>
      <c r="N24" s="55">
        <v>0</v>
      </c>
      <c r="O24" s="183">
        <f>M24+N24</f>
        <v>0</v>
      </c>
      <c r="Q24" s="7"/>
    </row>
    <row r="25" spans="1:20" ht="15.75" customHeight="1" thickBot="1" x14ac:dyDescent="0.3">
      <c r="A25" s="115">
        <f>SUM(A18:A24)</f>
        <v>1</v>
      </c>
      <c r="B25" s="241" t="s">
        <v>42</v>
      </c>
      <c r="C25" s="241"/>
      <c r="D25" s="241"/>
      <c r="E25" s="241"/>
      <c r="F25" s="241"/>
      <c r="G25" s="116">
        <f t="shared" ref="G25:Q25" si="1">SUM(G18:G24)</f>
        <v>8</v>
      </c>
      <c r="H25" s="116">
        <f t="shared" si="1"/>
        <v>0</v>
      </c>
      <c r="I25" s="116">
        <f t="shared" si="1"/>
        <v>0</v>
      </c>
      <c r="J25" s="116">
        <f t="shared" si="1"/>
        <v>2265000</v>
      </c>
      <c r="K25" s="116">
        <f t="shared" si="1"/>
        <v>2100</v>
      </c>
      <c r="L25" s="116">
        <f t="shared" si="1"/>
        <v>7125</v>
      </c>
      <c r="M25" s="116">
        <f t="shared" si="1"/>
        <v>0</v>
      </c>
      <c r="N25" s="116">
        <f t="shared" si="1"/>
        <v>10414.040000000001</v>
      </c>
      <c r="O25" s="184">
        <f t="shared" si="1"/>
        <v>10414.040000000001</v>
      </c>
      <c r="P25" s="182">
        <f t="shared" si="1"/>
        <v>0</v>
      </c>
      <c r="Q25" s="182">
        <f t="shared" si="1"/>
        <v>0</v>
      </c>
    </row>
    <row r="26" spans="1:20" ht="15.75" customHeight="1" thickBot="1" x14ac:dyDescent="0.3">
      <c r="A26" s="242" t="s">
        <v>43</v>
      </c>
      <c r="B26" s="243"/>
      <c r="C26" s="243"/>
      <c r="D26" s="243"/>
      <c r="E26" s="243"/>
      <c r="F26" s="243"/>
      <c r="G26" s="243"/>
      <c r="H26" s="8"/>
      <c r="I26" s="8"/>
      <c r="J26" s="9"/>
      <c r="K26" s="9"/>
      <c r="L26" s="9"/>
      <c r="M26" s="10">
        <v>0</v>
      </c>
      <c r="N26" s="10">
        <f>N25*-0.1</f>
        <v>-1041.4040000000002</v>
      </c>
      <c r="O26" s="11">
        <f>N26</f>
        <v>-1041.4040000000002</v>
      </c>
    </row>
    <row r="27" spans="1:20" ht="15.75" customHeight="1" thickBot="1" x14ac:dyDescent="0.3">
      <c r="A27" s="244" t="s">
        <v>44</v>
      </c>
      <c r="B27" s="244"/>
      <c r="C27" s="244"/>
      <c r="D27" s="244"/>
      <c r="E27" s="244"/>
      <c r="F27" s="244"/>
      <c r="G27" s="244"/>
      <c r="H27" s="12"/>
      <c r="I27" s="12"/>
      <c r="J27" s="13"/>
      <c r="K27" s="13"/>
      <c r="L27" s="13"/>
      <c r="M27" s="10">
        <f>+M25+M26</f>
        <v>0</v>
      </c>
      <c r="N27" s="10">
        <f>+N25+N26</f>
        <v>9372.6360000000004</v>
      </c>
      <c r="O27" s="11">
        <f>+O25+O26</f>
        <v>9372.6360000000004</v>
      </c>
    </row>
    <row r="28" spans="1:20" x14ac:dyDescent="0.25">
      <c r="A28" s="14"/>
      <c r="B28" s="14"/>
      <c r="C28" s="14"/>
      <c r="D28" s="14"/>
      <c r="E28" s="14"/>
      <c r="F28" s="14"/>
      <c r="G28" s="14"/>
      <c r="H28" s="15"/>
      <c r="I28" s="15"/>
      <c r="J28" s="16"/>
      <c r="K28" s="16"/>
      <c r="L28" s="16"/>
      <c r="M28" s="16"/>
      <c r="N28" s="16"/>
      <c r="O28" s="17"/>
    </row>
    <row r="29" spans="1:20" ht="16.5" customHeight="1" thickBot="1" x14ac:dyDescent="0.3">
      <c r="A29" s="259" t="s">
        <v>45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18"/>
      <c r="O29" s="18"/>
    </row>
    <row r="30" spans="1:20" ht="23.25" customHeight="1" thickBot="1" x14ac:dyDescent="0.3">
      <c r="A30" s="246" t="s">
        <v>7</v>
      </c>
      <c r="B30" s="249" t="s">
        <v>8</v>
      </c>
      <c r="C30" s="250"/>
      <c r="D30" s="236" t="s">
        <v>9</v>
      </c>
      <c r="E30" s="236" t="s">
        <v>10</v>
      </c>
      <c r="F30" s="236" t="s">
        <v>11</v>
      </c>
      <c r="G30" s="236" t="s">
        <v>46</v>
      </c>
      <c r="H30" s="249" t="s">
        <v>13</v>
      </c>
      <c r="I30" s="250"/>
      <c r="J30" s="236" t="s">
        <v>14</v>
      </c>
      <c r="K30" s="83"/>
      <c r="L30" s="83"/>
      <c r="M30" s="236" t="s">
        <v>15</v>
      </c>
      <c r="N30" s="236" t="s">
        <v>16</v>
      </c>
      <c r="O30" s="238" t="s">
        <v>17</v>
      </c>
      <c r="Q30" s="166"/>
      <c r="R30" s="177"/>
    </row>
    <row r="31" spans="1:20" ht="0.75" customHeight="1" thickBot="1" x14ac:dyDescent="0.3">
      <c r="A31" s="247"/>
      <c r="B31" s="251"/>
      <c r="C31" s="252"/>
      <c r="D31" s="237"/>
      <c r="E31" s="237"/>
      <c r="F31" s="237"/>
      <c r="G31" s="253"/>
      <c r="H31" s="236" t="s">
        <v>22</v>
      </c>
      <c r="I31" s="236" t="s">
        <v>19</v>
      </c>
      <c r="J31" s="254"/>
      <c r="K31" s="86"/>
      <c r="L31" s="86"/>
      <c r="M31" s="254"/>
      <c r="N31" s="237"/>
      <c r="O31" s="239"/>
    </row>
    <row r="32" spans="1:20" ht="28.5" customHeight="1" thickBot="1" x14ac:dyDescent="0.3">
      <c r="A32" s="248"/>
      <c r="B32" s="69" t="s">
        <v>20</v>
      </c>
      <c r="C32" s="85" t="s">
        <v>21</v>
      </c>
      <c r="D32" s="237"/>
      <c r="E32" s="237"/>
      <c r="F32" s="237"/>
      <c r="G32" s="253"/>
      <c r="H32" s="237"/>
      <c r="I32" s="237"/>
      <c r="J32" s="254"/>
      <c r="K32" s="84" t="s">
        <v>23</v>
      </c>
      <c r="L32" s="84" t="s">
        <v>24</v>
      </c>
      <c r="M32" s="254"/>
      <c r="N32" s="237"/>
      <c r="O32" s="255"/>
    </row>
    <row r="33" spans="1:19" ht="79.5" customHeight="1" thickBot="1" x14ac:dyDescent="0.3">
      <c r="A33" s="70">
        <v>1</v>
      </c>
      <c r="B33" s="89" t="s">
        <v>47</v>
      </c>
      <c r="C33" s="226" t="s">
        <v>48</v>
      </c>
      <c r="D33" s="89" t="s">
        <v>49</v>
      </c>
      <c r="E33" s="89" t="s">
        <v>50</v>
      </c>
      <c r="F33" s="89" t="s">
        <v>51</v>
      </c>
      <c r="G33" s="91">
        <v>16</v>
      </c>
      <c r="H33" s="91"/>
      <c r="I33" s="91"/>
      <c r="J33" s="92">
        <v>650000</v>
      </c>
      <c r="K33" s="92">
        <v>5000</v>
      </c>
      <c r="L33" s="92">
        <v>17266.669999999998</v>
      </c>
      <c r="M33" s="92"/>
      <c r="N33" s="92">
        <v>20800</v>
      </c>
      <c r="O33" s="93">
        <f>SUM(M33:N33)</f>
        <v>20800</v>
      </c>
      <c r="P33" s="167">
        <f>O33+O35</f>
        <v>31200</v>
      </c>
      <c r="Q33" s="7"/>
    </row>
    <row r="34" spans="1:19" ht="59.25" thickBot="1" x14ac:dyDescent="0.3">
      <c r="A34" s="227">
        <v>1</v>
      </c>
      <c r="B34" s="52"/>
      <c r="C34" s="226" t="s">
        <v>52</v>
      </c>
      <c r="D34" s="59" t="s">
        <v>49</v>
      </c>
      <c r="E34" s="88" t="s">
        <v>53</v>
      </c>
      <c r="F34" s="52" t="s">
        <v>54</v>
      </c>
      <c r="G34" s="53">
        <v>8</v>
      </c>
      <c r="H34" s="54"/>
      <c r="I34" s="54"/>
      <c r="J34" s="51">
        <v>1070000</v>
      </c>
      <c r="K34" s="51">
        <v>2500</v>
      </c>
      <c r="L34" s="51">
        <v>8633.33</v>
      </c>
      <c r="M34" s="51"/>
      <c r="N34" s="51"/>
      <c r="O34" s="95">
        <f t="shared" ref="O34:O39" si="2">SUM(M34:N34)</f>
        <v>0</v>
      </c>
      <c r="Q34" s="7"/>
      <c r="R34" s="167"/>
    </row>
    <row r="35" spans="1:19" ht="89.25" thickBot="1" x14ac:dyDescent="0.3">
      <c r="A35" s="227">
        <v>1</v>
      </c>
      <c r="B35" s="89" t="s">
        <v>47</v>
      </c>
      <c r="C35" s="228" t="s">
        <v>55</v>
      </c>
      <c r="D35" s="59" t="s">
        <v>49</v>
      </c>
      <c r="E35" s="88" t="s">
        <v>56</v>
      </c>
      <c r="F35" s="52" t="s">
        <v>57</v>
      </c>
      <c r="G35" s="53">
        <v>8</v>
      </c>
      <c r="H35" s="54"/>
      <c r="I35" s="54"/>
      <c r="J35" s="51"/>
      <c r="K35" s="51">
        <v>2600</v>
      </c>
      <c r="L35" s="51">
        <v>7700</v>
      </c>
      <c r="M35" s="51"/>
      <c r="N35" s="51">
        <v>10400</v>
      </c>
      <c r="O35" s="95">
        <f t="shared" si="2"/>
        <v>10400</v>
      </c>
    </row>
    <row r="36" spans="1:19" ht="86.25" thickBot="1" x14ac:dyDescent="0.3">
      <c r="A36" s="227">
        <v>1</v>
      </c>
      <c r="B36" s="52"/>
      <c r="C36" s="226" t="s">
        <v>58</v>
      </c>
      <c r="D36" s="59" t="s">
        <v>49</v>
      </c>
      <c r="E36" s="52" t="s">
        <v>59</v>
      </c>
      <c r="F36" s="52" t="s">
        <v>60</v>
      </c>
      <c r="G36" s="53">
        <v>8</v>
      </c>
      <c r="H36" s="54"/>
      <c r="I36" s="54"/>
      <c r="J36" s="51"/>
      <c r="K36" s="55">
        <v>2500</v>
      </c>
      <c r="L36" s="55">
        <v>7700</v>
      </c>
      <c r="M36" s="55"/>
      <c r="N36" s="55"/>
      <c r="O36" s="95">
        <f t="shared" si="2"/>
        <v>0</v>
      </c>
      <c r="Q36" s="20"/>
      <c r="R36" s="20"/>
      <c r="S36" s="20"/>
    </row>
    <row r="37" spans="1:19" ht="87.75" customHeight="1" thickBot="1" x14ac:dyDescent="0.3">
      <c r="A37" s="227">
        <v>1</v>
      </c>
      <c r="B37" s="89" t="s">
        <v>61</v>
      </c>
      <c r="C37" s="226" t="s">
        <v>62</v>
      </c>
      <c r="D37" s="59" t="s">
        <v>49</v>
      </c>
      <c r="E37" s="52" t="s">
        <v>63</v>
      </c>
      <c r="F37" s="52" t="s">
        <v>64</v>
      </c>
      <c r="G37" s="53">
        <v>8</v>
      </c>
      <c r="H37" s="54"/>
      <c r="I37" s="54"/>
      <c r="J37" s="51"/>
      <c r="K37" s="55">
        <v>3600</v>
      </c>
      <c r="L37" s="55">
        <v>4900</v>
      </c>
      <c r="M37" s="55"/>
      <c r="N37" s="55">
        <v>9600</v>
      </c>
      <c r="O37" s="95">
        <f t="shared" si="2"/>
        <v>9600</v>
      </c>
      <c r="P37" s="167">
        <f>O37+O38</f>
        <v>20800</v>
      </c>
      <c r="Q37" s="20"/>
      <c r="R37" s="20"/>
      <c r="S37" s="20"/>
    </row>
    <row r="38" spans="1:19" ht="72.75" customHeight="1" thickBot="1" x14ac:dyDescent="0.3">
      <c r="A38" s="227">
        <v>1</v>
      </c>
      <c r="B38" s="52" t="s">
        <v>61</v>
      </c>
      <c r="C38" s="226" t="s">
        <v>65</v>
      </c>
      <c r="D38" s="59" t="s">
        <v>49</v>
      </c>
      <c r="E38" s="52" t="s">
        <v>66</v>
      </c>
      <c r="F38" s="52" t="s">
        <v>67</v>
      </c>
      <c r="G38" s="53">
        <v>8</v>
      </c>
      <c r="H38" s="54"/>
      <c r="I38" s="54"/>
      <c r="J38" s="51"/>
      <c r="K38" s="55">
        <v>7400</v>
      </c>
      <c r="L38" s="55">
        <v>15400</v>
      </c>
      <c r="M38" s="55"/>
      <c r="N38" s="55">
        <v>11200</v>
      </c>
      <c r="O38" s="95">
        <f t="shared" si="2"/>
        <v>11200</v>
      </c>
      <c r="P38" s="167">
        <f>P37*0.15%</f>
        <v>31.2</v>
      </c>
      <c r="Q38" s="20">
        <f>P37+P38</f>
        <v>20831.2</v>
      </c>
      <c r="R38" s="20"/>
      <c r="S38" s="20"/>
    </row>
    <row r="39" spans="1:19" x14ac:dyDescent="0.25">
      <c r="A39" s="227">
        <v>0</v>
      </c>
      <c r="B39" s="52"/>
      <c r="C39" s="19"/>
      <c r="D39" s="50"/>
      <c r="E39" s="52"/>
      <c r="F39" s="52"/>
      <c r="G39" s="53"/>
      <c r="H39" s="54"/>
      <c r="I39" s="54"/>
      <c r="J39" s="51"/>
      <c r="K39" s="55"/>
      <c r="L39" s="55"/>
      <c r="M39" s="55"/>
      <c r="N39" s="55"/>
      <c r="O39" s="95">
        <f t="shared" si="2"/>
        <v>0</v>
      </c>
    </row>
    <row r="40" spans="1:19" x14ac:dyDescent="0.25">
      <c r="A40" s="94">
        <f>SUM(A33:A39)</f>
        <v>6</v>
      </c>
      <c r="B40" s="256" t="s">
        <v>42</v>
      </c>
      <c r="C40" s="256"/>
      <c r="D40" s="256"/>
      <c r="E40" s="256"/>
      <c r="F40" s="256"/>
      <c r="G40" s="87">
        <f>SUM(G33:G39)</f>
        <v>56</v>
      </c>
      <c r="H40" s="87">
        <f>SUM(H33:H39)</f>
        <v>0</v>
      </c>
      <c r="I40" s="87">
        <f>SUM(I33:I39)</f>
        <v>0</v>
      </c>
      <c r="J40" s="58">
        <f>SUM(J33:J39)</f>
        <v>1720000</v>
      </c>
      <c r="K40" s="58">
        <f>SUM(K33:K39)</f>
        <v>23600</v>
      </c>
      <c r="L40" s="58">
        <f t="shared" ref="L40:O40" si="3">SUM(L33:L39)</f>
        <v>61600</v>
      </c>
      <c r="M40" s="58">
        <f t="shared" si="3"/>
        <v>0</v>
      </c>
      <c r="N40" s="58">
        <f t="shared" si="3"/>
        <v>52000</v>
      </c>
      <c r="O40" s="96">
        <f t="shared" si="3"/>
        <v>52000</v>
      </c>
    </row>
    <row r="41" spans="1:19" x14ac:dyDescent="0.25">
      <c r="A41" s="257" t="s">
        <v>43</v>
      </c>
      <c r="B41" s="258"/>
      <c r="C41" s="258"/>
      <c r="D41" s="258"/>
      <c r="E41" s="258"/>
      <c r="F41" s="258"/>
      <c r="G41" s="258"/>
      <c r="H41" s="62"/>
      <c r="I41" s="62"/>
      <c r="J41" s="63"/>
      <c r="K41" s="64"/>
      <c r="L41" s="64"/>
      <c r="M41" s="64">
        <v>0</v>
      </c>
      <c r="N41" s="64">
        <f>0.1*-N40</f>
        <v>-5200</v>
      </c>
      <c r="O41" s="97">
        <f>SUM(N41:N41)</f>
        <v>-5200</v>
      </c>
    </row>
    <row r="42" spans="1:19" ht="15.75" thickBot="1" x14ac:dyDescent="0.3">
      <c r="A42" s="260" t="s">
        <v>68</v>
      </c>
      <c r="B42" s="261"/>
      <c r="C42" s="261"/>
      <c r="D42" s="261"/>
      <c r="E42" s="261"/>
      <c r="F42" s="261"/>
      <c r="G42" s="262"/>
      <c r="H42" s="60"/>
      <c r="I42" s="60"/>
      <c r="J42" s="56"/>
      <c r="K42" s="57"/>
      <c r="L42" s="57"/>
      <c r="M42" s="57">
        <f>SUM(M40:M41)</f>
        <v>0</v>
      </c>
      <c r="N42" s="61">
        <f>+N40+N41</f>
        <v>46800</v>
      </c>
      <c r="O42" s="61">
        <f>+O40+O41</f>
        <v>46800</v>
      </c>
      <c r="Q42" s="7"/>
    </row>
    <row r="43" spans="1:19" x14ac:dyDescent="0.25">
      <c r="A43" s="14"/>
      <c r="B43" s="14"/>
      <c r="C43" s="14"/>
      <c r="D43" s="14"/>
      <c r="E43" s="14"/>
      <c r="F43" s="14"/>
      <c r="G43" s="14"/>
      <c r="H43" s="15"/>
      <c r="I43" s="15"/>
      <c r="J43" s="16"/>
      <c r="K43" s="16"/>
      <c r="L43" s="16"/>
      <c r="M43" s="16"/>
      <c r="N43" s="16"/>
      <c r="O43" s="17"/>
    </row>
    <row r="44" spans="1:19" ht="15.75" customHeight="1" thickBot="1" x14ac:dyDescent="0.3">
      <c r="A44" s="259" t="s">
        <v>69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1"/>
      <c r="O44" s="21"/>
    </row>
    <row r="45" spans="1:19" ht="29.25" customHeight="1" thickBot="1" x14ac:dyDescent="0.3">
      <c r="A45" s="246" t="s">
        <v>7</v>
      </c>
      <c r="B45" s="249" t="s">
        <v>8</v>
      </c>
      <c r="C45" s="250"/>
      <c r="D45" s="236" t="s">
        <v>9</v>
      </c>
      <c r="E45" s="236" t="s">
        <v>10</v>
      </c>
      <c r="F45" s="236" t="s">
        <v>11</v>
      </c>
      <c r="G45" s="236" t="s">
        <v>46</v>
      </c>
      <c r="H45" s="249" t="s">
        <v>13</v>
      </c>
      <c r="I45" s="250"/>
      <c r="J45" s="236" t="s">
        <v>14</v>
      </c>
      <c r="K45" s="83"/>
      <c r="L45" s="83"/>
      <c r="M45" s="236" t="s">
        <v>15</v>
      </c>
      <c r="N45" s="236" t="s">
        <v>16</v>
      </c>
      <c r="O45" s="238" t="s">
        <v>17</v>
      </c>
      <c r="Q45" s="166"/>
      <c r="R45" s="177"/>
    </row>
    <row r="46" spans="1:19" ht="14.25" customHeight="1" thickBot="1" x14ac:dyDescent="0.3">
      <c r="A46" s="247"/>
      <c r="B46" s="251"/>
      <c r="C46" s="252"/>
      <c r="D46" s="253"/>
      <c r="E46" s="253"/>
      <c r="F46" s="253"/>
      <c r="G46" s="253"/>
      <c r="H46" s="236" t="s">
        <v>22</v>
      </c>
      <c r="I46" s="236" t="s">
        <v>19</v>
      </c>
      <c r="J46" s="254"/>
      <c r="K46" s="86"/>
      <c r="L46" s="86"/>
      <c r="M46" s="254"/>
      <c r="N46" s="237"/>
      <c r="O46" s="239"/>
    </row>
    <row r="47" spans="1:19" ht="36.75" customHeight="1" thickBot="1" x14ac:dyDescent="0.3">
      <c r="A47" s="248"/>
      <c r="B47" s="83" t="s">
        <v>20</v>
      </c>
      <c r="C47" s="85" t="s">
        <v>21</v>
      </c>
      <c r="D47" s="253"/>
      <c r="E47" s="253"/>
      <c r="F47" s="253"/>
      <c r="G47" s="253"/>
      <c r="H47" s="237"/>
      <c r="I47" s="237"/>
      <c r="J47" s="254"/>
      <c r="K47" s="84" t="s">
        <v>23</v>
      </c>
      <c r="L47" s="84" t="s">
        <v>24</v>
      </c>
      <c r="M47" s="254"/>
      <c r="N47" s="237"/>
      <c r="O47" s="255"/>
    </row>
    <row r="48" spans="1:19" ht="69.75" customHeight="1" thickBot="1" x14ac:dyDescent="0.3">
      <c r="A48" s="125">
        <v>1</v>
      </c>
      <c r="B48" s="101" t="s">
        <v>70</v>
      </c>
      <c r="C48" s="222" t="s">
        <v>71</v>
      </c>
      <c r="D48" s="50" t="s">
        <v>72</v>
      </c>
      <c r="E48" s="103" t="s">
        <v>73</v>
      </c>
      <c r="F48" s="101" t="s">
        <v>74</v>
      </c>
      <c r="G48" s="104">
        <v>8</v>
      </c>
      <c r="H48" s="104">
        <v>0</v>
      </c>
      <c r="I48" s="104">
        <v>0</v>
      </c>
      <c r="J48" s="51">
        <v>370000</v>
      </c>
      <c r="K48" s="105">
        <v>2900</v>
      </c>
      <c r="L48" s="105">
        <v>2750</v>
      </c>
      <c r="M48" s="105">
        <v>0</v>
      </c>
      <c r="N48" s="105">
        <v>9600</v>
      </c>
      <c r="O48" s="126">
        <f t="shared" ref="O48:O50" si="4">M48+N48</f>
        <v>9600</v>
      </c>
      <c r="Q48" s="7"/>
      <c r="R48" s="167"/>
    </row>
    <row r="49" spans="1:18" ht="41.25" customHeight="1" thickBot="1" x14ac:dyDescent="0.3">
      <c r="A49" s="125">
        <v>1</v>
      </c>
      <c r="B49" s="101" t="s">
        <v>75</v>
      </c>
      <c r="C49" s="102" t="s">
        <v>76</v>
      </c>
      <c r="D49" s="50" t="s">
        <v>72</v>
      </c>
      <c r="E49" s="103" t="s">
        <v>77</v>
      </c>
      <c r="F49" s="101" t="s">
        <v>74</v>
      </c>
      <c r="G49" s="104">
        <v>8</v>
      </c>
      <c r="H49" s="104">
        <v>0</v>
      </c>
      <c r="I49" s="104">
        <v>0</v>
      </c>
      <c r="J49" s="51"/>
      <c r="K49" s="105">
        <v>2900</v>
      </c>
      <c r="L49" s="105">
        <v>2750</v>
      </c>
      <c r="M49" s="105">
        <v>0</v>
      </c>
      <c r="N49" s="105">
        <v>19200</v>
      </c>
      <c r="O49" s="126">
        <f t="shared" si="4"/>
        <v>19200</v>
      </c>
    </row>
    <row r="50" spans="1:18" ht="26.25" thickBot="1" x14ac:dyDescent="0.3">
      <c r="A50" s="125">
        <v>1</v>
      </c>
      <c r="B50" s="101" t="s">
        <v>70</v>
      </c>
      <c r="C50" s="222" t="s">
        <v>78</v>
      </c>
      <c r="D50" s="50" t="s">
        <v>72</v>
      </c>
      <c r="E50" s="103" t="s">
        <v>79</v>
      </c>
      <c r="F50" s="101" t="s">
        <v>74</v>
      </c>
      <c r="G50" s="104">
        <v>8</v>
      </c>
      <c r="H50" s="104">
        <v>0</v>
      </c>
      <c r="I50" s="104">
        <v>0</v>
      </c>
      <c r="J50" s="51"/>
      <c r="K50" s="105">
        <v>2900</v>
      </c>
      <c r="L50" s="105">
        <v>2750</v>
      </c>
      <c r="M50" s="105">
        <v>0</v>
      </c>
      <c r="N50" s="105">
        <v>9600</v>
      </c>
      <c r="O50" s="126">
        <f t="shared" si="4"/>
        <v>9600</v>
      </c>
    </row>
    <row r="51" spans="1:18" ht="13.5" customHeight="1" x14ac:dyDescent="0.25">
      <c r="A51" s="94">
        <f>SUM(A48:A50)</f>
        <v>3</v>
      </c>
      <c r="B51" s="52"/>
      <c r="C51" s="106"/>
      <c r="D51" s="52"/>
      <c r="E51" s="106"/>
      <c r="F51" s="52"/>
      <c r="G51" s="107">
        <f>SUM(G48:G50)</f>
        <v>24</v>
      </c>
      <c r="H51" s="108">
        <f t="shared" ref="H51:O51" si="5">SUM(H48:H50)</f>
        <v>0</v>
      </c>
      <c r="I51" s="108">
        <f t="shared" si="5"/>
        <v>0</v>
      </c>
      <c r="J51" s="108">
        <f t="shared" si="5"/>
        <v>370000</v>
      </c>
      <c r="K51" s="108">
        <f t="shared" si="5"/>
        <v>8700</v>
      </c>
      <c r="L51" s="108">
        <f t="shared" si="5"/>
        <v>8250</v>
      </c>
      <c r="M51" s="108">
        <f t="shared" si="5"/>
        <v>0</v>
      </c>
      <c r="N51" s="108">
        <f t="shared" si="5"/>
        <v>38400</v>
      </c>
      <c r="O51" s="96">
        <f t="shared" si="5"/>
        <v>38400</v>
      </c>
      <c r="Q51" s="223"/>
    </row>
    <row r="52" spans="1:18" ht="13.5" customHeight="1" x14ac:dyDescent="0.25">
      <c r="A52" s="257" t="s">
        <v>43</v>
      </c>
      <c r="B52" s="258"/>
      <c r="C52" s="258"/>
      <c r="D52" s="258"/>
      <c r="E52" s="258"/>
      <c r="F52" s="258"/>
      <c r="G52" s="258"/>
      <c r="H52" s="109"/>
      <c r="I52" s="109"/>
      <c r="J52" s="110"/>
      <c r="K52" s="111"/>
      <c r="L52" s="111"/>
      <c r="M52" s="64">
        <v>0</v>
      </c>
      <c r="N52" s="64">
        <f>-0.1*N51</f>
        <v>-3840</v>
      </c>
      <c r="O52" s="97">
        <f>SUM(N52:N52)</f>
        <v>-3840</v>
      </c>
    </row>
    <row r="53" spans="1:18" ht="14.25" customHeight="1" thickBot="1" x14ac:dyDescent="0.3">
      <c r="A53" s="260" t="s">
        <v>68</v>
      </c>
      <c r="B53" s="261"/>
      <c r="C53" s="261"/>
      <c r="D53" s="261"/>
      <c r="E53" s="261"/>
      <c r="F53" s="261"/>
      <c r="G53" s="262"/>
      <c r="H53" s="98"/>
      <c r="I53" s="98"/>
      <c r="J53" s="99"/>
      <c r="K53" s="100"/>
      <c r="L53" s="100"/>
      <c r="M53" s="57">
        <f>SUM(M51:M52)</f>
        <v>0</v>
      </c>
      <c r="N53" s="61">
        <f>+N51+N52</f>
        <v>34560</v>
      </c>
      <c r="O53" s="61">
        <f>+O51+O52</f>
        <v>34560</v>
      </c>
    </row>
    <row r="54" spans="1:18" ht="14.25" customHeight="1" x14ac:dyDescent="0.25">
      <c r="A54" s="22"/>
      <c r="B54" s="22"/>
      <c r="C54" s="22"/>
      <c r="D54" s="22"/>
      <c r="E54" s="22"/>
      <c r="F54" s="22"/>
      <c r="G54" s="22"/>
      <c r="H54" s="15"/>
      <c r="I54" s="15"/>
      <c r="J54" s="16"/>
      <c r="K54" s="16"/>
      <c r="L54" s="16"/>
      <c r="M54" s="23"/>
      <c r="N54" s="23"/>
      <c r="O54" s="23"/>
    </row>
    <row r="55" spans="1:18" x14ac:dyDescent="0.25">
      <c r="A55" s="22"/>
      <c r="B55" s="22"/>
      <c r="C55" s="22"/>
      <c r="D55" s="22"/>
      <c r="E55" s="22"/>
      <c r="F55" s="22"/>
      <c r="G55" s="22"/>
      <c r="H55" s="24"/>
      <c r="I55" s="24"/>
      <c r="J55" s="23"/>
      <c r="K55" s="23"/>
      <c r="L55" s="23"/>
      <c r="M55" s="23"/>
      <c r="N55" s="23"/>
      <c r="O55" s="25"/>
    </row>
    <row r="56" spans="1:18" ht="15.75" thickBot="1" x14ac:dyDescent="0.3">
      <c r="A56" s="245" t="s">
        <v>80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</row>
    <row r="57" spans="1:18" ht="24.75" customHeight="1" thickBot="1" x14ac:dyDescent="0.3">
      <c r="A57" s="246" t="s">
        <v>7</v>
      </c>
      <c r="B57" s="249" t="s">
        <v>8</v>
      </c>
      <c r="C57" s="250"/>
      <c r="D57" s="236" t="s">
        <v>9</v>
      </c>
      <c r="E57" s="236" t="s">
        <v>10</v>
      </c>
      <c r="F57" s="236" t="s">
        <v>11</v>
      </c>
      <c r="G57" s="236" t="s">
        <v>81</v>
      </c>
      <c r="H57" s="249" t="s">
        <v>13</v>
      </c>
      <c r="I57" s="250"/>
      <c r="J57" s="236" t="s">
        <v>14</v>
      </c>
      <c r="K57" s="83"/>
      <c r="L57" s="83"/>
      <c r="M57" s="236" t="s">
        <v>15</v>
      </c>
      <c r="N57" s="236" t="s">
        <v>16</v>
      </c>
      <c r="O57" s="238" t="s">
        <v>82</v>
      </c>
      <c r="Q57" s="166"/>
      <c r="R57" s="177"/>
    </row>
    <row r="58" spans="1:18" ht="15.75" thickBot="1" x14ac:dyDescent="0.3">
      <c r="A58" s="247"/>
      <c r="B58" s="251"/>
      <c r="C58" s="252"/>
      <c r="D58" s="237"/>
      <c r="E58" s="237"/>
      <c r="F58" s="237"/>
      <c r="G58" s="253"/>
      <c r="H58" s="236" t="s">
        <v>22</v>
      </c>
      <c r="I58" s="236" t="s">
        <v>19</v>
      </c>
      <c r="J58" s="254"/>
      <c r="K58" s="86"/>
      <c r="L58" s="86"/>
      <c r="M58" s="254"/>
      <c r="N58" s="237"/>
      <c r="O58" s="239"/>
    </row>
    <row r="59" spans="1:18" ht="27.75" customHeight="1" thickBot="1" x14ac:dyDescent="0.3">
      <c r="A59" s="247"/>
      <c r="B59" s="83" t="s">
        <v>20</v>
      </c>
      <c r="C59" s="85" t="s">
        <v>21</v>
      </c>
      <c r="D59" s="237"/>
      <c r="E59" s="237"/>
      <c r="F59" s="237"/>
      <c r="G59" s="253"/>
      <c r="H59" s="237"/>
      <c r="I59" s="237"/>
      <c r="J59" s="254"/>
      <c r="K59" s="84" t="s">
        <v>23</v>
      </c>
      <c r="L59" s="84" t="s">
        <v>24</v>
      </c>
      <c r="M59" s="254"/>
      <c r="N59" s="237"/>
      <c r="O59" s="255"/>
    </row>
    <row r="60" spans="1:18" ht="75.75" thickBot="1" x14ac:dyDescent="0.3">
      <c r="A60" s="112">
        <v>1</v>
      </c>
      <c r="B60" s="52" t="s">
        <v>83</v>
      </c>
      <c r="C60" s="229" t="s">
        <v>142</v>
      </c>
      <c r="D60" s="52" t="s">
        <v>85</v>
      </c>
      <c r="E60" s="52" t="s">
        <v>140</v>
      </c>
      <c r="F60" s="52" t="s">
        <v>86</v>
      </c>
      <c r="G60" s="54">
        <v>16</v>
      </c>
      <c r="H60" s="54">
        <v>14</v>
      </c>
      <c r="I60" s="54"/>
      <c r="J60" s="55">
        <v>250000</v>
      </c>
      <c r="K60" s="55">
        <v>3500</v>
      </c>
      <c r="L60" s="55">
        <v>14692</v>
      </c>
      <c r="M60" s="55"/>
      <c r="N60" s="55">
        <v>47600</v>
      </c>
      <c r="O60" s="124">
        <f t="shared" ref="O60:O63" si="6">SUM(M60:N60)</f>
        <v>47600</v>
      </c>
      <c r="P60" s="167">
        <f>O60*0.15%</f>
        <v>71.400000000000006</v>
      </c>
      <c r="Q60" s="7">
        <f>O60+P60</f>
        <v>47671.4</v>
      </c>
    </row>
    <row r="61" spans="1:18" ht="147.75" customHeight="1" thickBot="1" x14ac:dyDescent="0.3">
      <c r="A61" s="112">
        <v>1</v>
      </c>
      <c r="B61" s="52" t="s">
        <v>61</v>
      </c>
      <c r="C61" s="228" t="s">
        <v>143</v>
      </c>
      <c r="D61" s="52" t="s">
        <v>85</v>
      </c>
      <c r="E61" s="52" t="s">
        <v>141</v>
      </c>
      <c r="F61" s="52" t="s">
        <v>88</v>
      </c>
      <c r="G61" s="54">
        <v>16</v>
      </c>
      <c r="H61" s="54"/>
      <c r="I61" s="54"/>
      <c r="J61" s="55">
        <v>300000</v>
      </c>
      <c r="K61" s="55">
        <v>3400</v>
      </c>
      <c r="L61" s="55">
        <v>8925</v>
      </c>
      <c r="M61" s="55"/>
      <c r="N61" s="55">
        <v>23800</v>
      </c>
      <c r="O61" s="124">
        <f t="shared" si="6"/>
        <v>23800</v>
      </c>
      <c r="P61" s="167">
        <f>O61*0.15%</f>
        <v>35.700000000000003</v>
      </c>
      <c r="Q61" s="7">
        <f>O61+P61</f>
        <v>23835.7</v>
      </c>
    </row>
    <row r="62" spans="1:18" ht="29.25" thickBot="1" x14ac:dyDescent="0.3">
      <c r="A62" s="112">
        <v>0</v>
      </c>
      <c r="B62" s="52" t="s">
        <v>89</v>
      </c>
      <c r="C62" s="52" t="s">
        <v>145</v>
      </c>
      <c r="D62" s="52" t="s">
        <v>85</v>
      </c>
      <c r="E62" s="88" t="s">
        <v>144</v>
      </c>
      <c r="F62" s="52" t="s">
        <v>91</v>
      </c>
      <c r="G62" s="54">
        <v>8</v>
      </c>
      <c r="H62" s="54">
        <v>19</v>
      </c>
      <c r="I62" s="54">
        <v>11</v>
      </c>
      <c r="J62" s="55">
        <v>370000</v>
      </c>
      <c r="K62" s="55">
        <v>2500</v>
      </c>
      <c r="L62" s="55">
        <v>14611.04</v>
      </c>
      <c r="M62" s="55">
        <v>35984.9</v>
      </c>
      <c r="N62" s="55">
        <v>25000</v>
      </c>
      <c r="O62" s="124">
        <f t="shared" si="6"/>
        <v>60984.9</v>
      </c>
      <c r="Q62" s="7"/>
      <c r="R62" s="167"/>
    </row>
    <row r="63" spans="1:18" ht="57.75" hidden="1" thickBot="1" x14ac:dyDescent="0.3">
      <c r="A63" s="112">
        <v>0</v>
      </c>
      <c r="B63" s="52" t="s">
        <v>61</v>
      </c>
      <c r="C63" s="52" t="s">
        <v>92</v>
      </c>
      <c r="D63" s="52" t="s">
        <v>85</v>
      </c>
      <c r="E63" s="88"/>
      <c r="F63" s="52" t="s">
        <v>88</v>
      </c>
      <c r="G63" s="54"/>
      <c r="H63" s="54"/>
      <c r="I63" s="54"/>
      <c r="J63" s="55"/>
      <c r="K63" s="55"/>
      <c r="L63" s="55"/>
      <c r="M63" s="55"/>
      <c r="N63" s="55"/>
      <c r="O63" s="183">
        <f t="shared" si="6"/>
        <v>0</v>
      </c>
    </row>
    <row r="64" spans="1:18" ht="18.75" customHeight="1" thickBot="1" x14ac:dyDescent="0.3">
      <c r="A64" s="68">
        <f>SUM(A61:A63)</f>
        <v>1</v>
      </c>
      <c r="B64" s="241" t="s">
        <v>42</v>
      </c>
      <c r="C64" s="241"/>
      <c r="D64" s="241"/>
      <c r="E64" s="241"/>
      <c r="F64" s="241"/>
      <c r="G64" s="113">
        <f t="shared" ref="G64:J64" si="7">SUM(G60:G63)</f>
        <v>40</v>
      </c>
      <c r="H64" s="113">
        <f t="shared" si="7"/>
        <v>33</v>
      </c>
      <c r="I64" s="113">
        <f t="shared" si="7"/>
        <v>11</v>
      </c>
      <c r="J64" s="113">
        <f t="shared" si="7"/>
        <v>920000</v>
      </c>
      <c r="K64" s="113">
        <f>SUM(K60:K63)</f>
        <v>9400</v>
      </c>
      <c r="L64" s="113">
        <f t="shared" ref="L64:O64" si="8">SUM(L60:L63)</f>
        <v>38228.04</v>
      </c>
      <c r="M64" s="113">
        <f t="shared" si="8"/>
        <v>35984.9</v>
      </c>
      <c r="N64" s="113">
        <f t="shared" si="8"/>
        <v>96400</v>
      </c>
      <c r="O64" s="186">
        <f t="shared" si="8"/>
        <v>132384.9</v>
      </c>
      <c r="P64" s="185"/>
      <c r="Q64" s="185"/>
      <c r="R64" s="185"/>
    </row>
    <row r="65" spans="1:21" ht="15" customHeight="1" thickBot="1" x14ac:dyDescent="0.3">
      <c r="A65" s="242" t="s">
        <v>43</v>
      </c>
      <c r="B65" s="243"/>
      <c r="C65" s="243"/>
      <c r="D65" s="243"/>
      <c r="E65" s="243"/>
      <c r="F65" s="243"/>
      <c r="G65" s="243"/>
      <c r="H65" s="26"/>
      <c r="I65" s="26"/>
      <c r="J65" s="27"/>
      <c r="K65" s="27"/>
      <c r="L65" s="27"/>
      <c r="M65" s="28">
        <v>0</v>
      </c>
      <c r="N65" s="28">
        <f>N64*-0.1</f>
        <v>-9640</v>
      </c>
      <c r="O65" s="28">
        <f>N65</f>
        <v>-9640</v>
      </c>
    </row>
    <row r="66" spans="1:21" ht="17.25" customHeight="1" thickBot="1" x14ac:dyDescent="0.3">
      <c r="A66" s="244" t="s">
        <v>44</v>
      </c>
      <c r="B66" s="244"/>
      <c r="C66" s="244"/>
      <c r="D66" s="244"/>
      <c r="E66" s="244"/>
      <c r="F66" s="244"/>
      <c r="G66" s="244"/>
      <c r="H66" s="29"/>
      <c r="I66" s="29"/>
      <c r="J66" s="30"/>
      <c r="K66" s="30"/>
      <c r="L66" s="30"/>
      <c r="M66" s="28">
        <f>SUM(M64:M65)</f>
        <v>35984.9</v>
      </c>
      <c r="N66" s="28">
        <f>N64 +(N65)</f>
        <v>86760</v>
      </c>
      <c r="O66" s="28">
        <f>O65+O64</f>
        <v>122744.9</v>
      </c>
    </row>
    <row r="67" spans="1:21" ht="17.25" customHeight="1" thickBot="1" x14ac:dyDescent="0.3">
      <c r="A67" s="131"/>
      <c r="B67" s="131"/>
      <c r="C67" s="131"/>
      <c r="D67" s="131"/>
      <c r="E67" s="131"/>
      <c r="F67" s="131"/>
      <c r="G67" s="131"/>
      <c r="H67" s="31"/>
      <c r="I67" s="31"/>
      <c r="J67" s="32"/>
      <c r="K67" s="32"/>
      <c r="L67" s="32"/>
      <c r="M67" s="33"/>
      <c r="N67" s="33"/>
      <c r="O67" s="33"/>
      <c r="P67" s="168"/>
      <c r="Q67" s="130"/>
      <c r="R67" s="130"/>
      <c r="S67" s="130"/>
      <c r="T67" s="130"/>
      <c r="U67" s="130"/>
    </row>
    <row r="68" spans="1:21" ht="17.25" customHeight="1" thickBot="1" x14ac:dyDescent="0.3">
      <c r="A68" s="224"/>
      <c r="B68" s="263" t="s">
        <v>93</v>
      </c>
      <c r="C68" s="263"/>
      <c r="D68" s="263"/>
      <c r="E68" s="263"/>
      <c r="F68" s="263"/>
      <c r="G68" s="264"/>
      <c r="H68" s="31"/>
      <c r="I68" s="267" t="s">
        <v>94</v>
      </c>
      <c r="J68" s="268"/>
      <c r="K68" s="268"/>
      <c r="L68" s="268"/>
      <c r="M68" s="268"/>
      <c r="N68" s="269"/>
      <c r="O68" s="33"/>
      <c r="P68" s="270" t="s">
        <v>95</v>
      </c>
      <c r="Q68" s="271"/>
      <c r="R68" s="271"/>
      <c r="S68" s="271"/>
      <c r="T68" s="271"/>
      <c r="U68" s="272"/>
    </row>
    <row r="69" spans="1:21" ht="17.25" customHeight="1" thickBot="1" x14ac:dyDescent="0.3">
      <c r="A69" s="225"/>
      <c r="B69" s="265"/>
      <c r="C69" s="265"/>
      <c r="D69" s="265"/>
      <c r="E69" s="265"/>
      <c r="F69" s="265"/>
      <c r="G69" s="266"/>
      <c r="H69" s="31"/>
      <c r="I69" s="31"/>
      <c r="J69" s="32"/>
      <c r="K69" s="32"/>
      <c r="L69" s="32"/>
      <c r="M69" s="33"/>
      <c r="N69" s="33"/>
      <c r="O69" s="33"/>
    </row>
    <row r="70" spans="1:21" ht="32.25" thickBot="1" x14ac:dyDescent="0.3">
      <c r="A70" s="273" t="s">
        <v>96</v>
      </c>
      <c r="B70" s="273"/>
      <c r="C70" s="273"/>
      <c r="D70" s="273" t="s">
        <v>97</v>
      </c>
      <c r="E70" s="273"/>
      <c r="F70" s="273" t="s">
        <v>98</v>
      </c>
      <c r="G70" s="273"/>
      <c r="H70" s="31"/>
      <c r="I70" s="71" t="s">
        <v>99</v>
      </c>
      <c r="J70" s="72" t="s">
        <v>100</v>
      </c>
      <c r="K70" s="73" t="s">
        <v>101</v>
      </c>
      <c r="L70" s="73" t="s">
        <v>102</v>
      </c>
      <c r="M70" s="74" t="s">
        <v>103</v>
      </c>
      <c r="N70" s="75" t="s">
        <v>68</v>
      </c>
      <c r="O70" s="33"/>
      <c r="P70" s="169" t="s">
        <v>99</v>
      </c>
      <c r="Q70" s="72" t="s">
        <v>100</v>
      </c>
      <c r="R70" s="73" t="s">
        <v>101</v>
      </c>
      <c r="S70" s="73" t="s">
        <v>102</v>
      </c>
      <c r="T70" s="74" t="s">
        <v>103</v>
      </c>
      <c r="U70" s="75" t="s">
        <v>68</v>
      </c>
    </row>
    <row r="71" spans="1:21" ht="27.75" customHeight="1" thickBot="1" x14ac:dyDescent="0.3">
      <c r="A71" s="281" t="s">
        <v>104</v>
      </c>
      <c r="B71" s="281"/>
      <c r="C71" s="281"/>
      <c r="D71" s="274">
        <f>U73</f>
        <v>342832</v>
      </c>
      <c r="E71" s="274"/>
      <c r="F71" s="274">
        <f>F79</f>
        <v>213477.53599999999</v>
      </c>
      <c r="G71" s="274"/>
      <c r="H71" s="230">
        <f>F71/D71%</f>
        <v>62.268847715499135</v>
      </c>
      <c r="I71" s="76" t="s">
        <v>24</v>
      </c>
      <c r="J71" s="34">
        <f>L25</f>
        <v>7125</v>
      </c>
      <c r="K71" s="34">
        <f>L51</f>
        <v>8250</v>
      </c>
      <c r="L71" s="34">
        <f>L40</f>
        <v>61600</v>
      </c>
      <c r="M71" s="35">
        <f>L64</f>
        <v>38228.04</v>
      </c>
      <c r="N71" s="36">
        <f>SUM(J71:M71)</f>
        <v>115203.04000000001</v>
      </c>
      <c r="O71" s="129"/>
      <c r="P71" s="170" t="s">
        <v>24</v>
      </c>
      <c r="Q71" s="34">
        <v>25000</v>
      </c>
      <c r="R71" s="34">
        <v>14500</v>
      </c>
      <c r="S71" s="34">
        <v>92400</v>
      </c>
      <c r="T71" s="35">
        <v>25000</v>
      </c>
      <c r="U71" s="36">
        <f>SUM(Q71:T71)</f>
        <v>156900</v>
      </c>
    </row>
    <row r="72" spans="1:21" ht="20.100000000000001" customHeight="1" thickBot="1" x14ac:dyDescent="0.3">
      <c r="A72" s="281" t="s">
        <v>105</v>
      </c>
      <c r="B72" s="281"/>
      <c r="C72" s="281"/>
      <c r="D72" s="283">
        <v>4</v>
      </c>
      <c r="E72" s="283"/>
      <c r="F72" s="244">
        <f>A60</f>
        <v>1</v>
      </c>
      <c r="G72" s="244"/>
      <c r="H72" s="230">
        <f t="shared" ref="H72:H77" si="9">F72/D72%</f>
        <v>25</v>
      </c>
      <c r="I72" s="77" t="s">
        <v>106</v>
      </c>
      <c r="J72" s="37">
        <f>K25</f>
        <v>2100</v>
      </c>
      <c r="K72" s="34">
        <f>K51</f>
        <v>8700</v>
      </c>
      <c r="L72" s="37">
        <f>K40</f>
        <v>23600</v>
      </c>
      <c r="M72" s="38">
        <f>K64</f>
        <v>9400</v>
      </c>
      <c r="N72" s="39">
        <f t="shared" ref="N72:N74" si="10">SUM(J72:M72)</f>
        <v>43800</v>
      </c>
      <c r="O72" s="129"/>
      <c r="P72" s="171" t="s">
        <v>106</v>
      </c>
      <c r="Q72" s="37">
        <v>11000</v>
      </c>
      <c r="R72" s="34">
        <v>12000</v>
      </c>
      <c r="S72" s="37">
        <v>21800</v>
      </c>
      <c r="T72" s="38">
        <v>11000</v>
      </c>
      <c r="U72" s="39">
        <f t="shared" ref="U72:U74" si="11">SUM(Q72:T72)</f>
        <v>55800</v>
      </c>
    </row>
    <row r="73" spans="1:21" ht="31.5" customHeight="1" thickBot="1" x14ac:dyDescent="0.3">
      <c r="A73" s="276" t="s">
        <v>107</v>
      </c>
      <c r="B73" s="277"/>
      <c r="C73" s="278"/>
      <c r="D73" s="279">
        <v>9</v>
      </c>
      <c r="E73" s="280"/>
      <c r="F73" s="244">
        <f>(A64+A51+A40+A25)-F72</f>
        <v>10</v>
      </c>
      <c r="G73" s="244"/>
      <c r="H73" s="230">
        <f t="shared" si="9"/>
        <v>111.11111111111111</v>
      </c>
      <c r="I73" s="187" t="s">
        <v>108</v>
      </c>
      <c r="J73" s="37">
        <f>O27</f>
        <v>9372.6360000000004</v>
      </c>
      <c r="K73" s="37">
        <f>O53</f>
        <v>34560</v>
      </c>
      <c r="L73" s="37">
        <f>O42</f>
        <v>46800</v>
      </c>
      <c r="M73" s="38">
        <f>O66</f>
        <v>122744.9</v>
      </c>
      <c r="N73" s="188">
        <f t="shared" si="10"/>
        <v>213477.53599999999</v>
      </c>
      <c r="O73" s="129"/>
      <c r="P73" s="194" t="s">
        <v>108</v>
      </c>
      <c r="Q73" s="37">
        <v>100832</v>
      </c>
      <c r="R73" s="37">
        <v>88000</v>
      </c>
      <c r="S73" s="37">
        <v>34200</v>
      </c>
      <c r="T73" s="38">
        <v>119800</v>
      </c>
      <c r="U73" s="42">
        <f t="shared" si="11"/>
        <v>342832</v>
      </c>
    </row>
    <row r="74" spans="1:21" ht="20.100000000000001" customHeight="1" thickBot="1" x14ac:dyDescent="0.3">
      <c r="A74" s="281" t="s">
        <v>109</v>
      </c>
      <c r="B74" s="281"/>
      <c r="C74" s="281"/>
      <c r="D74" s="282">
        <v>76</v>
      </c>
      <c r="E74" s="282"/>
      <c r="F74" s="244">
        <f>(H25+I25)+(H40+I40)+(H51+I51)+(H64+I64)</f>
        <v>44</v>
      </c>
      <c r="G74" s="244"/>
      <c r="H74" s="230">
        <f t="shared" si="9"/>
        <v>57.89473684210526</v>
      </c>
      <c r="I74" s="71" t="s">
        <v>68</v>
      </c>
      <c r="J74" s="191">
        <f>SUM(J71:J73)</f>
        <v>18597.635999999999</v>
      </c>
      <c r="K74" s="191">
        <f t="shared" ref="K74:M74" si="12">SUM(K71:K73)</f>
        <v>51510</v>
      </c>
      <c r="L74" s="191">
        <f t="shared" si="12"/>
        <v>132000</v>
      </c>
      <c r="M74" s="192">
        <f t="shared" si="12"/>
        <v>170372.94</v>
      </c>
      <c r="N74" s="193">
        <f t="shared" si="10"/>
        <v>372480.576</v>
      </c>
      <c r="O74" s="25"/>
      <c r="P74" s="169" t="s">
        <v>68</v>
      </c>
      <c r="Q74" s="191">
        <f>SUM(Q71:Q73)</f>
        <v>136832</v>
      </c>
      <c r="R74" s="191">
        <f t="shared" ref="R74:T74" si="13">SUM(R71:R73)</f>
        <v>114500</v>
      </c>
      <c r="S74" s="191">
        <f t="shared" si="13"/>
        <v>148400</v>
      </c>
      <c r="T74" s="196">
        <f t="shared" si="13"/>
        <v>155800</v>
      </c>
      <c r="U74" s="195">
        <f t="shared" si="11"/>
        <v>555532</v>
      </c>
    </row>
    <row r="75" spans="1:21" ht="20.100000000000001" customHeight="1" thickBot="1" x14ac:dyDescent="0.3">
      <c r="A75" s="281" t="s">
        <v>110</v>
      </c>
      <c r="B75" s="281"/>
      <c r="C75" s="281"/>
      <c r="D75" s="282">
        <v>152</v>
      </c>
      <c r="E75" s="282"/>
      <c r="F75" s="301">
        <f>G25+G40+G51+G64</f>
        <v>128</v>
      </c>
      <c r="G75" s="244"/>
      <c r="H75" s="230">
        <f t="shared" si="9"/>
        <v>84.21052631578948</v>
      </c>
      <c r="I75" s="189"/>
      <c r="J75" s="23"/>
      <c r="K75" s="23"/>
      <c r="L75" s="23"/>
      <c r="M75" s="23"/>
      <c r="N75" s="190"/>
      <c r="O75" s="286"/>
      <c r="P75" s="286"/>
      <c r="Q75" s="286"/>
      <c r="R75" s="286"/>
      <c r="S75" s="286"/>
      <c r="T75" s="286"/>
      <c r="U75" s="130"/>
    </row>
    <row r="76" spans="1:21" ht="20.100000000000001" customHeight="1" thickBot="1" x14ac:dyDescent="0.3">
      <c r="A76" s="300" t="s">
        <v>111</v>
      </c>
      <c r="B76" s="300"/>
      <c r="C76" s="300"/>
      <c r="D76" s="274">
        <f>U89</f>
        <v>133032</v>
      </c>
      <c r="E76" s="274"/>
      <c r="F76" s="275">
        <f>M64+M51+M40+M25</f>
        <v>35984.9</v>
      </c>
      <c r="G76" s="275"/>
      <c r="H76" s="230">
        <f t="shared" si="9"/>
        <v>27.049807565097122</v>
      </c>
      <c r="I76" s="302" t="s">
        <v>112</v>
      </c>
      <c r="J76" s="303"/>
      <c r="K76" s="303"/>
      <c r="L76" s="303"/>
      <c r="M76" s="303"/>
      <c r="N76" s="304"/>
      <c r="O76" s="25">
        <v>1</v>
      </c>
      <c r="P76" s="286"/>
      <c r="Q76" s="286"/>
      <c r="R76" s="286"/>
      <c r="S76" s="286"/>
      <c r="T76" s="286"/>
      <c r="U76" s="286"/>
    </row>
    <row r="77" spans="1:21" ht="20.100000000000001" customHeight="1" thickBot="1" x14ac:dyDescent="0.3">
      <c r="A77" s="300" t="s">
        <v>113</v>
      </c>
      <c r="B77" s="300"/>
      <c r="C77" s="300"/>
      <c r="D77" s="274">
        <v>209800</v>
      </c>
      <c r="E77" s="274"/>
      <c r="F77" s="275">
        <f>N64+N51+N40+N25</f>
        <v>197214.04</v>
      </c>
      <c r="G77" s="275"/>
      <c r="H77" s="230">
        <f t="shared" si="9"/>
        <v>94.000972354623457</v>
      </c>
      <c r="I77" s="71" t="s">
        <v>99</v>
      </c>
      <c r="J77" s="72" t="s">
        <v>100</v>
      </c>
      <c r="K77" s="73" t="s">
        <v>101</v>
      </c>
      <c r="L77" s="138" t="s">
        <v>102</v>
      </c>
      <c r="M77" s="139" t="s">
        <v>103</v>
      </c>
      <c r="N77" s="75" t="s">
        <v>68</v>
      </c>
      <c r="O77" s="25"/>
      <c r="P77" s="200"/>
      <c r="Q77" s="201"/>
      <c r="R77" s="202"/>
      <c r="S77" s="202"/>
      <c r="T77" s="203"/>
      <c r="U77" s="204"/>
    </row>
    <row r="78" spans="1:21" ht="20.100000000000001" customHeight="1" thickBot="1" x14ac:dyDescent="0.3">
      <c r="A78" s="300" t="s">
        <v>114</v>
      </c>
      <c r="B78" s="300"/>
      <c r="C78" s="300"/>
      <c r="D78" s="274">
        <v>20980</v>
      </c>
      <c r="E78" s="274"/>
      <c r="F78" s="275">
        <f>(N65+N52+N41+N26)</f>
        <v>-19721.403999999999</v>
      </c>
      <c r="G78" s="275"/>
      <c r="H78" s="230"/>
      <c r="I78" s="76" t="s">
        <v>24</v>
      </c>
      <c r="J78" s="132">
        <f>J71/Q71</f>
        <v>0.28499999999999998</v>
      </c>
      <c r="K78" s="132">
        <f>K71/R71</f>
        <v>0.56896551724137934</v>
      </c>
      <c r="L78" s="132">
        <f t="shared" ref="L78:N81" si="14">L71/S71</f>
        <v>0.66666666666666663</v>
      </c>
      <c r="M78" s="133">
        <f t="shared" si="14"/>
        <v>1.5291216000000001</v>
      </c>
      <c r="N78" s="134">
        <f t="shared" si="14"/>
        <v>0.73424499681325694</v>
      </c>
      <c r="O78" s="25"/>
      <c r="P78" s="205"/>
      <c r="Q78" s="206"/>
      <c r="R78" s="207"/>
      <c r="S78" s="207"/>
      <c r="T78" s="208"/>
      <c r="U78" s="209"/>
    </row>
    <row r="79" spans="1:21" ht="20.100000000000001" customHeight="1" thickBot="1" x14ac:dyDescent="0.3">
      <c r="A79" s="291" t="s">
        <v>115</v>
      </c>
      <c r="B79" s="291"/>
      <c r="C79" s="291"/>
      <c r="D79" s="292">
        <f>D76+D77</f>
        <v>342832</v>
      </c>
      <c r="E79" s="292"/>
      <c r="F79" s="293">
        <f>F76+F77+F78</f>
        <v>213477.53599999999</v>
      </c>
      <c r="G79" s="293"/>
      <c r="H79" s="230"/>
      <c r="I79" s="211" t="s">
        <v>106</v>
      </c>
      <c r="J79" s="132">
        <f>J72/Q72</f>
        <v>0.19090909090909092</v>
      </c>
      <c r="K79" s="132">
        <f t="shared" ref="K79:K80" si="15">K72/R72</f>
        <v>0.72499999999999998</v>
      </c>
      <c r="L79" s="132">
        <f t="shared" si="14"/>
        <v>1.0825688073394495</v>
      </c>
      <c r="M79" s="133">
        <f t="shared" si="14"/>
        <v>0.8545454545454545</v>
      </c>
      <c r="N79" s="134">
        <f t="shared" si="14"/>
        <v>0.78494623655913975</v>
      </c>
      <c r="O79" s="25"/>
      <c r="P79" s="210"/>
      <c r="Q79" s="197"/>
      <c r="R79" s="207"/>
      <c r="S79" s="198"/>
      <c r="T79" s="199"/>
      <c r="U79" s="209"/>
    </row>
    <row r="80" spans="1:21" ht="20.100000000000001" customHeight="1" x14ac:dyDescent="0.25">
      <c r="A80" s="43"/>
      <c r="B80" s="43"/>
      <c r="C80" s="43"/>
      <c r="D80" s="43"/>
      <c r="E80" s="43"/>
      <c r="F80" s="43"/>
      <c r="G80" s="127"/>
      <c r="H80" s="127"/>
      <c r="I80" s="78" t="s">
        <v>108</v>
      </c>
      <c r="J80" s="132">
        <f>J73/Q73</f>
        <v>9.2952991113932085E-2</v>
      </c>
      <c r="K80" s="132">
        <f t="shared" si="15"/>
        <v>0.3927272727272727</v>
      </c>
      <c r="L80" s="132">
        <f t="shared" si="14"/>
        <v>1.368421052631579</v>
      </c>
      <c r="M80" s="133">
        <f t="shared" si="14"/>
        <v>1.0245818030050082</v>
      </c>
      <c r="N80" s="134">
        <f t="shared" si="14"/>
        <v>0.62268847715499132</v>
      </c>
      <c r="O80" s="43"/>
      <c r="P80" s="200"/>
      <c r="Q80" s="197"/>
      <c r="R80" s="207"/>
      <c r="S80" s="198"/>
      <c r="T80" s="199"/>
      <c r="U80" s="209"/>
    </row>
    <row r="81" spans="1:21" ht="15.75" thickBot="1" x14ac:dyDescent="0.3">
      <c r="A81" s="43"/>
      <c r="B81" s="294"/>
      <c r="C81" s="294"/>
      <c r="D81" s="294"/>
      <c r="E81" s="44"/>
      <c r="F81" s="44"/>
      <c r="G81" s="44"/>
      <c r="I81" s="79" t="s">
        <v>68</v>
      </c>
      <c r="J81" s="135">
        <f>J74/Q74</f>
        <v>0.13591583840037416</v>
      </c>
      <c r="K81" s="135">
        <f>K74/R74</f>
        <v>0.44986899563318777</v>
      </c>
      <c r="L81" s="135">
        <f t="shared" si="14"/>
        <v>0.88948787061994605</v>
      </c>
      <c r="M81" s="136">
        <f t="shared" si="14"/>
        <v>1.0935362002567395</v>
      </c>
      <c r="N81" s="137">
        <f t="shared" si="14"/>
        <v>0.67049346572294666</v>
      </c>
      <c r="O81" s="43"/>
      <c r="P81" s="200"/>
      <c r="Q81" s="197"/>
      <c r="R81" s="207"/>
      <c r="S81" s="198"/>
      <c r="T81" s="199"/>
      <c r="U81" s="209"/>
    </row>
    <row r="82" spans="1:21" ht="15.75" thickBot="1" x14ac:dyDescent="0.3">
      <c r="A82" s="43"/>
      <c r="B82" s="45"/>
      <c r="C82" s="45"/>
      <c r="D82" s="45"/>
      <c r="E82" s="46"/>
      <c r="F82" s="45"/>
      <c r="G82" s="47"/>
      <c r="H82" s="45"/>
      <c r="I82" s="43"/>
      <c r="J82" s="43"/>
      <c r="K82" s="43"/>
      <c r="L82" s="43"/>
      <c r="M82" s="43"/>
      <c r="N82" s="43"/>
      <c r="O82" s="43"/>
      <c r="P82" s="287"/>
      <c r="Q82" s="287"/>
      <c r="R82" s="287"/>
      <c r="S82" s="287"/>
      <c r="T82" s="287"/>
      <c r="U82" s="287"/>
    </row>
    <row r="83" spans="1:21" ht="15.75" thickBot="1" x14ac:dyDescent="0.3">
      <c r="A83" s="43"/>
      <c r="B83" s="45"/>
      <c r="C83" s="45"/>
      <c r="D83" s="45"/>
      <c r="E83" s="46"/>
      <c r="F83" s="45"/>
      <c r="G83" s="47"/>
      <c r="H83" s="45"/>
      <c r="I83" s="295" t="s">
        <v>116</v>
      </c>
      <c r="J83" s="296"/>
      <c r="K83" s="296"/>
      <c r="L83" s="296"/>
      <c r="M83" s="296"/>
      <c r="N83" s="297"/>
      <c r="O83" s="43"/>
      <c r="P83" s="288" t="s">
        <v>117</v>
      </c>
      <c r="Q83" s="289"/>
      <c r="R83" s="289"/>
      <c r="S83" s="289"/>
      <c r="T83" s="289"/>
      <c r="U83" s="290"/>
    </row>
    <row r="84" spans="1:21" ht="32.25" thickBot="1" x14ac:dyDescent="0.3">
      <c r="A84" s="43"/>
      <c r="B84" s="298"/>
      <c r="C84" s="298"/>
      <c r="D84" s="298"/>
      <c r="E84" s="299"/>
      <c r="F84" s="299"/>
      <c r="G84" s="299"/>
      <c r="H84" s="48"/>
      <c r="I84" s="71" t="s">
        <v>99</v>
      </c>
      <c r="J84" s="72" t="s">
        <v>100</v>
      </c>
      <c r="K84" s="73" t="s">
        <v>101</v>
      </c>
      <c r="L84" s="73" t="s">
        <v>102</v>
      </c>
      <c r="M84" s="74" t="s">
        <v>103</v>
      </c>
      <c r="N84" s="75" t="s">
        <v>68</v>
      </c>
      <c r="O84" s="43"/>
      <c r="P84" s="169" t="s">
        <v>99</v>
      </c>
      <c r="Q84" s="72" t="s">
        <v>100</v>
      </c>
      <c r="R84" s="73" t="s">
        <v>101</v>
      </c>
      <c r="S84" s="73" t="s">
        <v>102</v>
      </c>
      <c r="T84" s="74" t="s">
        <v>103</v>
      </c>
      <c r="U84" s="75" t="s">
        <v>68</v>
      </c>
    </row>
    <row r="85" spans="1:21" x14ac:dyDescent="0.25">
      <c r="A85" s="43"/>
      <c r="B85" s="284"/>
      <c r="C85" s="284"/>
      <c r="D85" s="284"/>
      <c r="E85" s="285"/>
      <c r="F85" s="285"/>
      <c r="G85" s="285"/>
      <c r="H85" s="45"/>
      <c r="I85" s="140" t="s">
        <v>105</v>
      </c>
      <c r="J85" s="132">
        <f>A24/Q85</f>
        <v>0</v>
      </c>
      <c r="K85" s="132" t="e">
        <f>0/0</f>
        <v>#DIV/0!</v>
      </c>
      <c r="L85" s="132" t="e">
        <f>0/S78</f>
        <v>#DIV/0!</v>
      </c>
      <c r="M85" s="133">
        <f>0/T85</f>
        <v>0</v>
      </c>
      <c r="N85" s="134">
        <f>F72/D72</f>
        <v>0.25</v>
      </c>
      <c r="O85" s="43"/>
      <c r="P85" s="174" t="s">
        <v>105</v>
      </c>
      <c r="Q85" s="144">
        <f>[1]FEBRERO!$A$37+[1]FEBRERO!$A$36</f>
        <v>2</v>
      </c>
      <c r="R85" s="142">
        <f>[1]FEBRERO!$A$78</f>
        <v>1</v>
      </c>
      <c r="S85" s="142">
        <f>0</f>
        <v>0</v>
      </c>
      <c r="T85" s="155">
        <f>[1]FEBRERO!$A$51</f>
        <v>1</v>
      </c>
      <c r="U85" s="157">
        <f>SUM(Q85:T85)</f>
        <v>4</v>
      </c>
    </row>
    <row r="86" spans="1:21" x14ac:dyDescent="0.25">
      <c r="A86" s="43"/>
      <c r="B86" s="43"/>
      <c r="C86" s="43"/>
      <c r="D86" s="43"/>
      <c r="E86" s="43"/>
      <c r="F86" s="43"/>
      <c r="G86" s="43"/>
      <c r="H86" s="43"/>
      <c r="I86" s="141" t="s">
        <v>118</v>
      </c>
      <c r="J86" s="158" t="e">
        <f>A25/Q86</f>
        <v>#DIV/0!</v>
      </c>
      <c r="K86" s="132">
        <f>A51/R86</f>
        <v>1.5</v>
      </c>
      <c r="L86" s="158">
        <f>A40/S86</f>
        <v>1</v>
      </c>
      <c r="M86" s="159">
        <f>A64/T86</f>
        <v>1</v>
      </c>
      <c r="N86" s="164">
        <f>(F72+F73)/(U85+U86)</f>
        <v>0.84615384615384615</v>
      </c>
      <c r="O86" s="43"/>
      <c r="P86" s="175" t="s">
        <v>118</v>
      </c>
      <c r="Q86" s="145">
        <f>[1]FEBRERO!$A$38</f>
        <v>0</v>
      </c>
      <c r="R86" s="142">
        <f>[1]FEBRERO!$A$77</f>
        <v>2</v>
      </c>
      <c r="S86" s="154">
        <f>[1]FEBRERO!$A$67</f>
        <v>6</v>
      </c>
      <c r="T86" s="156">
        <f>[1]FEBRERO!$A$50</f>
        <v>1</v>
      </c>
      <c r="U86" s="157">
        <f t="shared" ref="U86:U90" si="16">SUM(Q86:T86)</f>
        <v>9</v>
      </c>
    </row>
    <row r="87" spans="1:21" x14ac:dyDescent="0.25">
      <c r="A87" s="43"/>
      <c r="B87" s="43"/>
      <c r="C87" s="43"/>
      <c r="D87" s="43"/>
      <c r="E87" s="43"/>
      <c r="F87" s="43"/>
      <c r="G87" s="43"/>
      <c r="H87" s="43"/>
      <c r="I87" s="220" t="s">
        <v>119</v>
      </c>
      <c r="J87" s="158">
        <f>(H25+I25)/Q87</f>
        <v>0</v>
      </c>
      <c r="K87" s="132" t="e">
        <f>0/R80</f>
        <v>#DIV/0!</v>
      </c>
      <c r="L87" s="158">
        <v>0</v>
      </c>
      <c r="M87" s="159">
        <f>0/T87</f>
        <v>0</v>
      </c>
      <c r="N87" s="165">
        <f>F74/U87</f>
        <v>0.57894736842105265</v>
      </c>
      <c r="O87" s="43"/>
      <c r="P87" s="172" t="s">
        <v>119</v>
      </c>
      <c r="Q87" s="145">
        <f>[1]FEBRERO!$H$39+[1]FEBRERO!$I$39</f>
        <v>16</v>
      </c>
      <c r="R87" s="142">
        <f>[1]FEBRERO!$H$78+[1]FEBRERO!$I$78</f>
        <v>30</v>
      </c>
      <c r="S87" s="154">
        <f>[1]FEBRERO!$H$67+[1]FEBRERO!$I$67</f>
        <v>0</v>
      </c>
      <c r="T87" s="156">
        <f>[1]FEBRERO!$H$51+[1]FEBRERO!$I$51</f>
        <v>30</v>
      </c>
      <c r="U87" s="157">
        <f t="shared" si="16"/>
        <v>76</v>
      </c>
    </row>
    <row r="88" spans="1:21" x14ac:dyDescent="0.25">
      <c r="A88" s="43"/>
      <c r="B88" s="43"/>
      <c r="C88" s="43"/>
      <c r="D88" s="43"/>
      <c r="E88" s="43"/>
      <c r="F88" s="43"/>
      <c r="G88" s="43"/>
      <c r="H88" s="43"/>
      <c r="I88" s="78" t="s">
        <v>120</v>
      </c>
      <c r="J88" s="158">
        <f>G25/Q88</f>
        <v>0.33333333333333331</v>
      </c>
      <c r="K88" s="132">
        <f>G51/R88</f>
        <v>1.5</v>
      </c>
      <c r="L88" s="158">
        <f>G40/S88</f>
        <v>0.58333333333333337</v>
      </c>
      <c r="M88" s="159">
        <f>G64/T88</f>
        <v>2.5</v>
      </c>
      <c r="N88" s="163">
        <f>F75/U88</f>
        <v>0.84210526315789469</v>
      </c>
      <c r="O88" s="43"/>
      <c r="P88" s="172" t="s">
        <v>120</v>
      </c>
      <c r="Q88" s="145">
        <f>[1]FEBRERO!$G$39</f>
        <v>24</v>
      </c>
      <c r="R88" s="142">
        <f>[1]FEBRERO!$G$79</f>
        <v>16</v>
      </c>
      <c r="S88" s="154">
        <f>[1]FEBRERO!$G$67</f>
        <v>96</v>
      </c>
      <c r="T88" s="156">
        <f>[1]FEBRERO!$G$52</f>
        <v>16</v>
      </c>
      <c r="U88" s="157">
        <f t="shared" si="16"/>
        <v>152</v>
      </c>
    </row>
    <row r="89" spans="1:21" x14ac:dyDescent="0.25">
      <c r="A89" s="43"/>
      <c r="B89" s="43"/>
      <c r="C89" s="43"/>
      <c r="D89" s="43"/>
      <c r="E89" s="43"/>
      <c r="F89" s="43"/>
      <c r="G89" s="43"/>
      <c r="H89" s="43"/>
      <c r="I89" s="78" t="s">
        <v>121</v>
      </c>
      <c r="J89" s="158">
        <f>M25/Q89</f>
        <v>0</v>
      </c>
      <c r="K89" s="132">
        <f>M51/R89</f>
        <v>0</v>
      </c>
      <c r="L89" s="158">
        <v>0</v>
      </c>
      <c r="M89" s="159">
        <f>M64/T89</f>
        <v>0.89962249999999999</v>
      </c>
      <c r="N89" s="163">
        <f>F76/U89</f>
        <v>0.27049807565097123</v>
      </c>
      <c r="O89" s="43"/>
      <c r="P89" s="172" t="s">
        <v>121</v>
      </c>
      <c r="Q89" s="147">
        <f>[1]FEBRERO!$M$39</f>
        <v>68032</v>
      </c>
      <c r="R89" s="142">
        <f>[1]FEBRERO!$M$79</f>
        <v>25000</v>
      </c>
      <c r="S89" s="154">
        <f>[1]FEBRERO!$M$67</f>
        <v>0</v>
      </c>
      <c r="T89" s="38">
        <f>[1]FEBRERO!$M$52</f>
        <v>40000</v>
      </c>
      <c r="U89" s="157">
        <f t="shared" si="16"/>
        <v>133032</v>
      </c>
    </row>
    <row r="90" spans="1:21" x14ac:dyDescent="0.25">
      <c r="A90" s="43"/>
      <c r="B90" s="43"/>
      <c r="C90" s="43"/>
      <c r="D90" s="43"/>
      <c r="E90" s="43"/>
      <c r="F90" s="43"/>
      <c r="G90" s="43"/>
      <c r="H90" s="43"/>
      <c r="I90" s="219" t="s">
        <v>122</v>
      </c>
      <c r="J90" s="158">
        <f>N27/Q90</f>
        <v>0.28575109756097561</v>
      </c>
      <c r="K90" s="212">
        <f>K73/R73</f>
        <v>0.3927272727272727</v>
      </c>
      <c r="L90" s="212">
        <f>L73/S73</f>
        <v>1.368421052631579</v>
      </c>
      <c r="M90" s="160">
        <f>N66/T90</f>
        <v>1.087218045112782</v>
      </c>
      <c r="N90" s="213">
        <f>F77/U90</f>
        <v>0.94000972354623458</v>
      </c>
      <c r="O90" s="43"/>
      <c r="P90" s="172" t="s">
        <v>123</v>
      </c>
      <c r="Q90" s="146">
        <f>[1]FEBRERO!$N$39</f>
        <v>32800</v>
      </c>
      <c r="R90" s="40">
        <f>[1]FEBRERO!$N$79</f>
        <v>63000</v>
      </c>
      <c r="S90" s="40">
        <f>[1]FEBRERO!$N$67</f>
        <v>34200</v>
      </c>
      <c r="T90" s="41">
        <f>[1]FEBRERO!$N$52</f>
        <v>79800</v>
      </c>
      <c r="U90" s="157">
        <f t="shared" si="16"/>
        <v>209800</v>
      </c>
    </row>
    <row r="91" spans="1:21" ht="15.75" thickBot="1" x14ac:dyDescent="0.3">
      <c r="A91" s="43"/>
      <c r="B91" s="43"/>
      <c r="C91" s="43"/>
      <c r="D91" s="43"/>
      <c r="E91" s="43"/>
      <c r="F91" s="43"/>
      <c r="G91" s="43"/>
      <c r="H91" s="43"/>
      <c r="I91" s="79" t="s">
        <v>68</v>
      </c>
      <c r="J91" s="135">
        <f>J73/Q73</f>
        <v>9.2952991113932085E-2</v>
      </c>
      <c r="K91" s="135">
        <f t="shared" ref="K91:N91" si="17">K73/R73</f>
        <v>0.3927272727272727</v>
      </c>
      <c r="L91" s="135">
        <f t="shared" si="17"/>
        <v>1.368421052631579</v>
      </c>
      <c r="M91" s="135">
        <f t="shared" si="17"/>
        <v>1.0245818030050082</v>
      </c>
      <c r="N91" s="135">
        <f t="shared" si="17"/>
        <v>0.62268847715499132</v>
      </c>
      <c r="O91" s="43"/>
      <c r="P91" s="173" t="s">
        <v>68</v>
      </c>
      <c r="Q91" s="143">
        <f>Q89+Q90</f>
        <v>100832</v>
      </c>
      <c r="R91" s="80">
        <f>R89+R90</f>
        <v>88000</v>
      </c>
      <c r="S91" s="80">
        <f t="shared" ref="S91:U91" si="18">S89+S90</f>
        <v>34200</v>
      </c>
      <c r="T91" s="80">
        <f t="shared" si="18"/>
        <v>119800</v>
      </c>
      <c r="U91" s="80">
        <f t="shared" si="18"/>
        <v>342832</v>
      </c>
    </row>
    <row r="92" spans="1:2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</row>
    <row r="93" spans="1:2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</row>
    <row r="94" spans="1:2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</row>
    <row r="95" spans="1:2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</row>
    <row r="96" spans="1:2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</row>
    <row r="97" spans="1:15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</row>
    <row r="98" spans="1:1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</row>
    <row r="99" spans="1:15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pans="1:15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</row>
    <row r="101" spans="1:15" x14ac:dyDescent="0.25">
      <c r="A101" s="5"/>
      <c r="B101" s="5"/>
      <c r="C101" s="5"/>
      <c r="D101" s="5"/>
      <c r="E101" s="5"/>
      <c r="F101" s="5"/>
      <c r="G101" s="5"/>
      <c r="H101" s="5"/>
      <c r="I101" s="43"/>
      <c r="J101" s="43"/>
      <c r="K101" s="43"/>
      <c r="L101" s="43"/>
      <c r="M101" s="43"/>
      <c r="N101" s="43"/>
      <c r="O101" s="5"/>
    </row>
    <row r="102" spans="1: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 x14ac:dyDescent="0.25">
      <c r="A142" s="49"/>
      <c r="B142" s="49"/>
      <c r="C142" s="49"/>
      <c r="D142" s="49"/>
      <c r="E142" s="49"/>
      <c r="F142" s="49"/>
      <c r="G142" s="49"/>
      <c r="H142" s="49"/>
      <c r="I142" s="5"/>
      <c r="J142" s="5"/>
      <c r="K142" s="5"/>
      <c r="L142" s="5"/>
      <c r="M142" s="5"/>
      <c r="N142" s="5"/>
      <c r="O142" s="49"/>
    </row>
    <row r="143" spans="1:15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15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  <row r="146" spans="1:15" x14ac:dyDescent="0.25">
      <c r="I146" s="49"/>
      <c r="J146" s="49"/>
      <c r="K146" s="49"/>
      <c r="L146" s="49"/>
      <c r="M146" s="49"/>
      <c r="N146" s="49"/>
    </row>
  </sheetData>
  <mergeCells count="116">
    <mergeCell ref="B85:D85"/>
    <mergeCell ref="E85:G85"/>
    <mergeCell ref="O75:T75"/>
    <mergeCell ref="P82:U82"/>
    <mergeCell ref="P83:U83"/>
    <mergeCell ref="A79:C79"/>
    <mergeCell ref="D79:E79"/>
    <mergeCell ref="F79:G79"/>
    <mergeCell ref="B81:D81"/>
    <mergeCell ref="I83:N83"/>
    <mergeCell ref="B84:D84"/>
    <mergeCell ref="E84:G84"/>
    <mergeCell ref="A77:C77"/>
    <mergeCell ref="D77:E77"/>
    <mergeCell ref="F77:G77"/>
    <mergeCell ref="A78:C78"/>
    <mergeCell ref="D78:E78"/>
    <mergeCell ref="F78:G78"/>
    <mergeCell ref="A75:C75"/>
    <mergeCell ref="D75:E75"/>
    <mergeCell ref="F75:G75"/>
    <mergeCell ref="I76:N76"/>
    <mergeCell ref="P76:U76"/>
    <mergeCell ref="A76:C76"/>
    <mergeCell ref="D76:E76"/>
    <mergeCell ref="F76:G76"/>
    <mergeCell ref="A73:C73"/>
    <mergeCell ref="D73:E73"/>
    <mergeCell ref="F73:G73"/>
    <mergeCell ref="A74:C74"/>
    <mergeCell ref="D74:E74"/>
    <mergeCell ref="F74:G74"/>
    <mergeCell ref="A71:C71"/>
    <mergeCell ref="D71:E71"/>
    <mergeCell ref="F71:G71"/>
    <mergeCell ref="A72:C72"/>
    <mergeCell ref="D72:E72"/>
    <mergeCell ref="F72:G72"/>
    <mergeCell ref="A65:G65"/>
    <mergeCell ref="A66:G66"/>
    <mergeCell ref="B68:G69"/>
    <mergeCell ref="I68:N68"/>
    <mergeCell ref="P68:U68"/>
    <mergeCell ref="A70:C70"/>
    <mergeCell ref="D70:E70"/>
    <mergeCell ref="F70:G70"/>
    <mergeCell ref="M57:M59"/>
    <mergeCell ref="N57:N59"/>
    <mergeCell ref="O57:O59"/>
    <mergeCell ref="H58:H59"/>
    <mergeCell ref="I58:I59"/>
    <mergeCell ref="B64:F64"/>
    <mergeCell ref="A53:G53"/>
    <mergeCell ref="A56:O56"/>
    <mergeCell ref="A57:A59"/>
    <mergeCell ref="B57:C58"/>
    <mergeCell ref="D57:D59"/>
    <mergeCell ref="E57:E59"/>
    <mergeCell ref="F57:F59"/>
    <mergeCell ref="G57:G59"/>
    <mergeCell ref="H57:I57"/>
    <mergeCell ref="J57:J59"/>
    <mergeCell ref="M45:M47"/>
    <mergeCell ref="N45:N47"/>
    <mergeCell ref="O45:O47"/>
    <mergeCell ref="H46:H47"/>
    <mergeCell ref="I46:I47"/>
    <mergeCell ref="A52:G52"/>
    <mergeCell ref="A42:G42"/>
    <mergeCell ref="A44:M44"/>
    <mergeCell ref="A45:A47"/>
    <mergeCell ref="B45:C46"/>
    <mergeCell ref="D45:D47"/>
    <mergeCell ref="E45:E47"/>
    <mergeCell ref="F45:F47"/>
    <mergeCell ref="G45:G47"/>
    <mergeCell ref="H45:I45"/>
    <mergeCell ref="J45:J47"/>
    <mergeCell ref="N30:N32"/>
    <mergeCell ref="O30:O32"/>
    <mergeCell ref="H31:H32"/>
    <mergeCell ref="I31:I32"/>
    <mergeCell ref="B40:F40"/>
    <mergeCell ref="A41:G41"/>
    <mergeCell ref="A29:M29"/>
    <mergeCell ref="A30:A32"/>
    <mergeCell ref="B30:C31"/>
    <mergeCell ref="D30:D32"/>
    <mergeCell ref="E30:E32"/>
    <mergeCell ref="F30:F32"/>
    <mergeCell ref="G30:G32"/>
    <mergeCell ref="H30:I30"/>
    <mergeCell ref="J30:J32"/>
    <mergeCell ref="M30:M32"/>
    <mergeCell ref="B25:F25"/>
    <mergeCell ref="A26:G26"/>
    <mergeCell ref="A27:G27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N15:N17"/>
    <mergeCell ref="O15:O17"/>
    <mergeCell ref="I16:I17"/>
    <mergeCell ref="A11:O11"/>
  </mergeCells>
  <phoneticPr fontId="20" type="noConversion"/>
  <conditionalFormatting sqref="J71:M73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{91F03BE4-56B8-40E5-BD83-FDC79DA9C8EF}</x14:id>
        </ext>
      </extLst>
    </cfRule>
  </conditionalFormatting>
  <conditionalFormatting sqref="J78:M80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{D0C18F03-5054-4B00-863B-59B49A5A2835}</x14:id>
        </ext>
      </extLst>
    </cfRule>
  </conditionalFormatting>
  <conditionalFormatting sqref="J85:M90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{1D909B01-1D7B-4690-934B-2ED012A6B070}</x14:id>
        </ext>
      </extLst>
    </cfRule>
  </conditionalFormatting>
  <conditionalFormatting sqref="J71:N7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{E0944C0F-9593-41E0-BFD2-D79446DC30A3}</x14:id>
        </ext>
      </extLst>
    </cfRule>
    <cfRule type="colorScale" priority="6">
      <colorScale>
        <cfvo type="min"/>
        <cfvo type="max"/>
        <color rgb="FFFCFCFF"/>
        <color rgb="FF63BE7B"/>
      </colorScale>
    </cfRule>
    <cfRule type="top10" dxfId="1" priority="7" rank="5"/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5:N90">
    <cfRule type="colorScale" priority="5">
      <colorScale>
        <cfvo type="min"/>
        <cfvo type="max"/>
        <color rgb="FFFCFCFF"/>
        <color rgb="FF63BE7B"/>
      </colorScale>
    </cfRule>
  </conditionalFormatting>
  <conditionalFormatting sqref="K72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{0CEDB600-EF1A-4DD1-9577-60A2C524CA1A}</x14:id>
        </ext>
      </extLst>
    </cfRule>
  </conditionalFormatting>
  <conditionalFormatting sqref="Q71:T73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{5024C917-BF9F-4E4C-A3E3-1A5266C233C4}</x14:id>
        </ext>
      </extLst>
    </cfRule>
  </conditionalFormatting>
  <conditionalFormatting sqref="Q78:T81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{C97EEA6F-4A92-436E-8173-D8FF2592EFD1}</x14:id>
        </ext>
      </extLst>
    </cfRule>
  </conditionalFormatting>
  <conditionalFormatting sqref="Q85:T9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{C63826D8-C6FA-4C77-874D-122127F84458}</x14:id>
        </ext>
      </extLst>
    </cfRule>
  </conditionalFormatting>
  <conditionalFormatting sqref="Q91:U9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scale="44" orientation="landscape" r:id="rId1"/>
  <rowBreaks count="1" manualBreakCount="1">
    <brk id="43" max="1638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F03BE4-56B8-40E5-BD83-FDC79DA9C8E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J71:M73</xm:sqref>
        </x14:conditionalFormatting>
        <x14:conditionalFormatting xmlns:xm="http://schemas.microsoft.com/office/excel/2006/main">
          <x14:cfRule type="dataBar" id="{D0C18F03-5054-4B00-863B-59B49A5A283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J78:M80</xm:sqref>
        </x14:conditionalFormatting>
        <x14:conditionalFormatting xmlns:xm="http://schemas.microsoft.com/office/excel/2006/main">
          <x14:cfRule type="dataBar" id="{1D909B01-1D7B-4690-934B-2ED012A6B07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J85:M90</xm:sqref>
        </x14:conditionalFormatting>
        <x14:conditionalFormatting xmlns:xm="http://schemas.microsoft.com/office/excel/2006/main">
          <x14:cfRule type="dataBar" id="{E0944C0F-9593-41E0-BFD2-D79446DC30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J71:N73</xm:sqref>
        </x14:conditionalFormatting>
        <x14:conditionalFormatting xmlns:xm="http://schemas.microsoft.com/office/excel/2006/main">
          <x14:cfRule type="dataBar" id="{0CEDB600-EF1A-4DD1-9577-60A2C524CA1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K72</xm:sqref>
        </x14:conditionalFormatting>
        <x14:conditionalFormatting xmlns:xm="http://schemas.microsoft.com/office/excel/2006/main">
          <x14:cfRule type="dataBar" id="{5024C917-BF9F-4E4C-A3E3-1A5266C233C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Q71:T73</xm:sqref>
        </x14:conditionalFormatting>
        <x14:conditionalFormatting xmlns:xm="http://schemas.microsoft.com/office/excel/2006/main">
          <x14:cfRule type="dataBar" id="{C97EEA6F-4A92-436E-8173-D8FF2592EFD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Q78:T81</xm:sqref>
        </x14:conditionalFormatting>
        <x14:conditionalFormatting xmlns:xm="http://schemas.microsoft.com/office/excel/2006/main">
          <x14:cfRule type="dataBar" id="{C63826D8-C6FA-4C77-874D-122127F8445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Q85:T90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AB44-43EC-456D-8F9B-537C5DA36D10}">
  <dimension ref="A1:U143"/>
  <sheetViews>
    <sheetView topLeftCell="D12" zoomScale="80" zoomScaleNormal="80" workbookViewId="0">
      <selection activeCell="S60" sqref="S60"/>
    </sheetView>
  </sheetViews>
  <sheetFormatPr baseColWidth="10" defaultColWidth="11.42578125" defaultRowHeight="15" x14ac:dyDescent="0.25"/>
  <cols>
    <col min="1" max="1" width="4" customWidth="1"/>
    <col min="2" max="2" width="16" customWidth="1"/>
    <col min="3" max="3" width="43.42578125" customWidth="1"/>
    <col min="4" max="4" width="19.140625" customWidth="1"/>
    <col min="5" max="5" width="15.140625" customWidth="1"/>
    <col min="6" max="6" width="13.140625" customWidth="1"/>
    <col min="7" max="7" width="14.28515625" customWidth="1"/>
    <col min="8" max="8" width="10" customWidth="1"/>
    <col min="9" max="9" width="18.5703125" customWidth="1"/>
    <col min="10" max="10" width="15.85546875" customWidth="1"/>
    <col min="11" max="11" width="18" customWidth="1"/>
    <col min="12" max="12" width="20.42578125" customWidth="1"/>
    <col min="13" max="13" width="20.5703125" customWidth="1"/>
    <col min="14" max="14" width="16.140625" customWidth="1"/>
    <col min="15" max="15" width="14.85546875" customWidth="1"/>
    <col min="16" max="16" width="18.42578125" style="167" customWidth="1"/>
    <col min="17" max="17" width="16.5703125" customWidth="1"/>
    <col min="18" max="18" width="15" customWidth="1"/>
    <col min="19" max="19" width="17" customWidth="1"/>
    <col min="20" max="20" width="13.28515625" customWidth="1"/>
    <col min="21" max="21" width="14" customWidth="1"/>
  </cols>
  <sheetData>
    <row r="1" spans="1:15" ht="18" x14ac:dyDescent="0.25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5" ht="6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ht="15.75" x14ac:dyDescent="0.25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</row>
    <row r="5" spans="1:15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x14ac:dyDescent="0.25">
      <c r="A6" s="233" t="s">
        <v>3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8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 x14ac:dyDescent="0.25">
      <c r="A8" s="234" t="s">
        <v>4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4"/>
    </row>
    <row r="9" spans="1:15" ht="18" customHeight="1" x14ac:dyDescent="0.25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4"/>
    </row>
    <row r="10" spans="1:15" ht="18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" customHeight="1" x14ac:dyDescent="0.25">
      <c r="A11" s="235" t="s">
        <v>5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65"/>
    </row>
    <row r="12" spans="1: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5"/>
    </row>
    <row r="14" spans="1:15" ht="15.75" customHeight="1" thickBot="1" x14ac:dyDescent="0.3">
      <c r="A14" s="245" t="s">
        <v>6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</row>
    <row r="15" spans="1:15" ht="27" customHeight="1" thickBot="1" x14ac:dyDescent="0.3">
      <c r="A15" s="246" t="s">
        <v>7</v>
      </c>
      <c r="B15" s="249" t="s">
        <v>8</v>
      </c>
      <c r="C15" s="250"/>
      <c r="D15" s="236" t="s">
        <v>9</v>
      </c>
      <c r="E15" s="236" t="s">
        <v>10</v>
      </c>
      <c r="F15" s="236" t="s">
        <v>11</v>
      </c>
      <c r="G15" s="236" t="s">
        <v>12</v>
      </c>
      <c r="H15" s="249" t="s">
        <v>13</v>
      </c>
      <c r="I15" s="250"/>
      <c r="J15" s="236" t="s">
        <v>14</v>
      </c>
      <c r="K15" s="83"/>
      <c r="L15" s="83"/>
      <c r="M15" s="236" t="s">
        <v>15</v>
      </c>
      <c r="N15" s="236" t="s">
        <v>16</v>
      </c>
      <c r="O15" s="238" t="s">
        <v>17</v>
      </c>
    </row>
    <row r="16" spans="1:15" ht="5.25" customHeight="1" thickBot="1" x14ac:dyDescent="0.3">
      <c r="A16" s="247"/>
      <c r="B16" s="251"/>
      <c r="C16" s="252"/>
      <c r="D16" s="237"/>
      <c r="E16" s="237"/>
      <c r="F16" s="237"/>
      <c r="G16" s="253"/>
      <c r="H16" s="66" t="s">
        <v>18</v>
      </c>
      <c r="I16" s="236" t="s">
        <v>19</v>
      </c>
      <c r="J16" s="254"/>
      <c r="K16" s="86"/>
      <c r="L16" s="86"/>
      <c r="M16" s="254"/>
      <c r="N16" s="237"/>
      <c r="O16" s="239"/>
    </row>
    <row r="17" spans="1:20" ht="38.25" customHeight="1" thickBot="1" x14ac:dyDescent="0.3">
      <c r="A17" s="248"/>
      <c r="B17" s="83" t="s">
        <v>20</v>
      </c>
      <c r="C17" s="85" t="s">
        <v>21</v>
      </c>
      <c r="D17" s="237"/>
      <c r="E17" s="237"/>
      <c r="F17" s="237"/>
      <c r="G17" s="253"/>
      <c r="H17" s="67" t="s">
        <v>22</v>
      </c>
      <c r="I17" s="237"/>
      <c r="J17" s="254"/>
      <c r="K17" s="84" t="s">
        <v>23</v>
      </c>
      <c r="L17" s="84" t="s">
        <v>24</v>
      </c>
      <c r="M17" s="254"/>
      <c r="N17" s="237"/>
      <c r="O17" s="255"/>
      <c r="P17" s="181" t="s">
        <v>124</v>
      </c>
      <c r="Q17" s="178" t="s">
        <v>125</v>
      </c>
      <c r="R17" s="179" t="s">
        <v>126</v>
      </c>
      <c r="S17" s="180" t="s">
        <v>127</v>
      </c>
    </row>
    <row r="18" spans="1:20" ht="57" customHeight="1" x14ac:dyDescent="0.25">
      <c r="A18" s="123"/>
      <c r="B18" s="52" t="s">
        <v>25</v>
      </c>
      <c r="C18" s="117" t="s">
        <v>26</v>
      </c>
      <c r="D18" s="52" t="s">
        <v>27</v>
      </c>
      <c r="E18" s="88"/>
      <c r="F18" s="118" t="s">
        <v>28</v>
      </c>
      <c r="G18" s="54"/>
      <c r="H18" s="54"/>
      <c r="I18" s="54"/>
      <c r="J18" s="55">
        <f>600000/2</f>
        <v>300000</v>
      </c>
      <c r="K18" s="55"/>
      <c r="L18" s="55"/>
      <c r="M18" s="55"/>
      <c r="N18" s="55"/>
      <c r="O18" s="124">
        <f>M18+N18</f>
        <v>0</v>
      </c>
      <c r="P18" s="167">
        <f>J18*0.75</f>
        <v>225000</v>
      </c>
      <c r="Q18" s="20">
        <f>J18-O18</f>
        <v>300000</v>
      </c>
    </row>
    <row r="19" spans="1:20" ht="74.25" x14ac:dyDescent="0.25">
      <c r="A19" s="123"/>
      <c r="B19" s="52" t="s">
        <v>29</v>
      </c>
      <c r="C19" s="117" t="s">
        <v>30</v>
      </c>
      <c r="D19" s="52" t="s">
        <v>27</v>
      </c>
      <c r="E19" s="88"/>
      <c r="F19" s="118" t="s">
        <v>31</v>
      </c>
      <c r="G19" s="54"/>
      <c r="H19" s="54"/>
      <c r="I19" s="54"/>
      <c r="J19" s="55">
        <v>500000</v>
      </c>
      <c r="K19" s="55"/>
      <c r="L19" s="55"/>
      <c r="M19" s="55"/>
      <c r="N19" s="55"/>
      <c r="O19" s="124">
        <f t="shared" ref="O19:O23" si="0">M19+N19</f>
        <v>0</v>
      </c>
      <c r="P19" s="167">
        <f>J19*0.75</f>
        <v>375000</v>
      </c>
      <c r="Q19" s="7">
        <f>P19-(O19+O21)</f>
        <v>375000</v>
      </c>
    </row>
    <row r="20" spans="1:20" ht="57" x14ac:dyDescent="0.25">
      <c r="A20" s="123"/>
      <c r="B20" s="52" t="s">
        <v>32</v>
      </c>
      <c r="C20" s="117" t="s">
        <v>33</v>
      </c>
      <c r="D20" s="52" t="s">
        <v>27</v>
      </c>
      <c r="E20" s="88"/>
      <c r="F20" s="118" t="s">
        <v>31</v>
      </c>
      <c r="G20" s="54"/>
      <c r="H20" s="54"/>
      <c r="I20" s="54"/>
      <c r="J20" s="120">
        <f>1070000/2</f>
        <v>535000</v>
      </c>
      <c r="K20" s="55"/>
      <c r="L20" s="55"/>
      <c r="M20" s="55"/>
      <c r="N20" s="55"/>
      <c r="O20" s="124">
        <f t="shared" si="0"/>
        <v>0</v>
      </c>
      <c r="P20" s="167">
        <f t="shared" ref="P20:P24" si="1">J20*0.75</f>
        <v>401250</v>
      </c>
      <c r="Q20" s="7">
        <f>P20-(O20+O22)</f>
        <v>401250</v>
      </c>
      <c r="R20" s="176">
        <f>-278467.19*0.75</f>
        <v>-208850.39250000002</v>
      </c>
      <c r="S20" s="7">
        <f>Q20+R20</f>
        <v>192399.60749999998</v>
      </c>
    </row>
    <row r="21" spans="1:20" ht="74.25" x14ac:dyDescent="0.25">
      <c r="A21" s="123"/>
      <c r="B21" s="52" t="s">
        <v>29</v>
      </c>
      <c r="C21" s="117" t="s">
        <v>30</v>
      </c>
      <c r="D21" s="52" t="s">
        <v>27</v>
      </c>
      <c r="E21" s="88"/>
      <c r="F21" s="118" t="s">
        <v>31</v>
      </c>
      <c r="G21" s="54"/>
      <c r="H21" s="54"/>
      <c r="I21" s="54"/>
      <c r="J21" s="55"/>
      <c r="K21" s="55"/>
      <c r="L21" s="55"/>
      <c r="M21" s="55"/>
      <c r="N21" s="55"/>
      <c r="O21" s="124">
        <f t="shared" si="0"/>
        <v>0</v>
      </c>
      <c r="P21" s="167">
        <f t="shared" si="1"/>
        <v>0</v>
      </c>
      <c r="Q21" s="20"/>
      <c r="S21" s="20"/>
    </row>
    <row r="22" spans="1:20" ht="72.75" x14ac:dyDescent="0.25">
      <c r="A22" s="123"/>
      <c r="B22" s="52" t="s">
        <v>32</v>
      </c>
      <c r="C22" s="117" t="s">
        <v>34</v>
      </c>
      <c r="D22" s="50" t="s">
        <v>27</v>
      </c>
      <c r="E22" s="88"/>
      <c r="F22" s="52" t="s">
        <v>35</v>
      </c>
      <c r="G22" s="54"/>
      <c r="H22" s="119"/>
      <c r="I22" s="119"/>
      <c r="J22" s="120"/>
      <c r="K22" s="55"/>
      <c r="L22" s="55"/>
      <c r="M22" s="121"/>
      <c r="N22" s="55"/>
      <c r="O22" s="124">
        <f t="shared" si="0"/>
        <v>0</v>
      </c>
      <c r="P22" s="167">
        <f t="shared" si="1"/>
        <v>0</v>
      </c>
      <c r="Q22" s="20"/>
      <c r="R22" s="20"/>
      <c r="S22" s="20"/>
      <c r="T22" s="20"/>
    </row>
    <row r="23" spans="1:20" ht="88.5" x14ac:dyDescent="0.25">
      <c r="A23" s="123"/>
      <c r="B23" s="52" t="s">
        <v>36</v>
      </c>
      <c r="C23" s="122" t="s">
        <v>37</v>
      </c>
      <c r="D23" s="50" t="s">
        <v>27</v>
      </c>
      <c r="E23" s="88"/>
      <c r="F23" s="52" t="s">
        <v>38</v>
      </c>
      <c r="G23" s="54"/>
      <c r="H23" s="54"/>
      <c r="I23" s="54"/>
      <c r="J23" s="120">
        <v>650000</v>
      </c>
      <c r="K23" s="55"/>
      <c r="L23" s="55"/>
      <c r="M23" s="55"/>
      <c r="N23" s="55"/>
      <c r="O23" s="124">
        <f t="shared" si="0"/>
        <v>0</v>
      </c>
      <c r="P23" s="167">
        <f t="shared" si="1"/>
        <v>487500</v>
      </c>
      <c r="Q23" s="7">
        <f>P23-N24</f>
        <v>487500</v>
      </c>
      <c r="R23" s="20">
        <v>124388.59</v>
      </c>
      <c r="S23" s="20"/>
    </row>
    <row r="24" spans="1:20" ht="88.5" x14ac:dyDescent="0.25">
      <c r="A24" s="123"/>
      <c r="B24" s="52" t="s">
        <v>39</v>
      </c>
      <c r="C24" s="117" t="s">
        <v>40</v>
      </c>
      <c r="D24" s="52" t="s">
        <v>27</v>
      </c>
      <c r="E24" s="88"/>
      <c r="F24" s="52" t="s">
        <v>41</v>
      </c>
      <c r="G24" s="54"/>
      <c r="H24" s="54"/>
      <c r="I24" s="119"/>
      <c r="J24" s="55">
        <v>280000</v>
      </c>
      <c r="K24" s="55"/>
      <c r="L24" s="55"/>
      <c r="M24" s="55"/>
      <c r="N24" s="55"/>
      <c r="O24" s="124">
        <f>M24+N24</f>
        <v>0</v>
      </c>
      <c r="P24" s="167">
        <f t="shared" si="1"/>
        <v>210000</v>
      </c>
      <c r="Q24" s="7">
        <f>P24-O24</f>
        <v>210000</v>
      </c>
    </row>
    <row r="25" spans="1:20" ht="15.75" customHeight="1" thickBot="1" x14ac:dyDescent="0.3">
      <c r="A25" s="115">
        <f>SUM(A18:A24)</f>
        <v>0</v>
      </c>
      <c r="B25" s="241" t="s">
        <v>42</v>
      </c>
      <c r="C25" s="241"/>
      <c r="D25" s="241"/>
      <c r="E25" s="241"/>
      <c r="F25" s="241"/>
      <c r="G25" s="116">
        <f t="shared" ref="G25:Q25" si="2">SUM(G18:G24)</f>
        <v>0</v>
      </c>
      <c r="H25" s="116">
        <f t="shared" si="2"/>
        <v>0</v>
      </c>
      <c r="I25" s="116">
        <f t="shared" si="2"/>
        <v>0</v>
      </c>
      <c r="J25" s="116">
        <f t="shared" si="2"/>
        <v>2265000</v>
      </c>
      <c r="K25" s="116">
        <f t="shared" si="2"/>
        <v>0</v>
      </c>
      <c r="L25" s="116">
        <f t="shared" si="2"/>
        <v>0</v>
      </c>
      <c r="M25" s="116">
        <f t="shared" si="2"/>
        <v>0</v>
      </c>
      <c r="N25" s="116">
        <f t="shared" si="2"/>
        <v>0</v>
      </c>
      <c r="O25" s="116">
        <f t="shared" si="2"/>
        <v>0</v>
      </c>
      <c r="P25" s="116">
        <f t="shared" si="2"/>
        <v>1698750</v>
      </c>
      <c r="Q25" s="116">
        <f t="shared" si="2"/>
        <v>1773750</v>
      </c>
    </row>
    <row r="26" spans="1:20" ht="15.75" customHeight="1" thickBot="1" x14ac:dyDescent="0.3">
      <c r="A26" s="242" t="s">
        <v>43</v>
      </c>
      <c r="B26" s="243"/>
      <c r="C26" s="243"/>
      <c r="D26" s="243"/>
      <c r="E26" s="243"/>
      <c r="F26" s="243"/>
      <c r="G26" s="243"/>
      <c r="H26" s="8"/>
      <c r="I26" s="8"/>
      <c r="J26" s="9"/>
      <c r="K26" s="9"/>
      <c r="L26" s="9"/>
      <c r="M26" s="10">
        <v>0</v>
      </c>
      <c r="N26" s="10">
        <f>N25*-0.1</f>
        <v>0</v>
      </c>
      <c r="O26" s="11">
        <f>N26</f>
        <v>0</v>
      </c>
    </row>
    <row r="27" spans="1:20" ht="15.75" customHeight="1" thickBot="1" x14ac:dyDescent="0.3">
      <c r="A27" s="244" t="s">
        <v>44</v>
      </c>
      <c r="B27" s="244"/>
      <c r="C27" s="244"/>
      <c r="D27" s="244"/>
      <c r="E27" s="244"/>
      <c r="F27" s="244"/>
      <c r="G27" s="244"/>
      <c r="H27" s="12"/>
      <c r="I27" s="12"/>
      <c r="J27" s="13"/>
      <c r="K27" s="13"/>
      <c r="L27" s="13"/>
      <c r="M27" s="10">
        <f>+M25+M26</f>
        <v>0</v>
      </c>
      <c r="N27" s="10">
        <f>+N25+N26</f>
        <v>0</v>
      </c>
      <c r="O27" s="11">
        <f>+O25+O26</f>
        <v>0</v>
      </c>
    </row>
    <row r="28" spans="1:20" x14ac:dyDescent="0.25">
      <c r="A28" s="14"/>
      <c r="B28" s="14"/>
      <c r="C28" s="14"/>
      <c r="D28" s="14"/>
      <c r="E28" s="14"/>
      <c r="F28" s="14"/>
      <c r="G28" s="14"/>
      <c r="H28" s="15"/>
      <c r="I28" s="15"/>
      <c r="J28" s="16"/>
      <c r="K28" s="16"/>
      <c r="L28" s="16"/>
      <c r="M28" s="16"/>
      <c r="N28" s="16"/>
      <c r="O28" s="17"/>
    </row>
    <row r="29" spans="1:20" ht="16.5" customHeight="1" thickBot="1" x14ac:dyDescent="0.3">
      <c r="A29" s="259" t="s">
        <v>45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18"/>
      <c r="O29" s="18"/>
    </row>
    <row r="30" spans="1:20" ht="23.25" customHeight="1" thickBot="1" x14ac:dyDescent="0.3">
      <c r="A30" s="246" t="s">
        <v>7</v>
      </c>
      <c r="B30" s="249" t="s">
        <v>8</v>
      </c>
      <c r="C30" s="250"/>
      <c r="D30" s="236" t="s">
        <v>9</v>
      </c>
      <c r="E30" s="236" t="s">
        <v>10</v>
      </c>
      <c r="F30" s="236" t="s">
        <v>11</v>
      </c>
      <c r="G30" s="236" t="s">
        <v>46</v>
      </c>
      <c r="H30" s="249" t="s">
        <v>13</v>
      </c>
      <c r="I30" s="250"/>
      <c r="J30" s="236" t="s">
        <v>14</v>
      </c>
      <c r="K30" s="83"/>
      <c r="L30" s="83"/>
      <c r="M30" s="236" t="s">
        <v>15</v>
      </c>
      <c r="N30" s="236" t="s">
        <v>16</v>
      </c>
      <c r="O30" s="238" t="s">
        <v>17</v>
      </c>
      <c r="P30" s="167" t="s">
        <v>128</v>
      </c>
      <c r="Q30" s="166" t="s">
        <v>125</v>
      </c>
      <c r="R30" s="177" t="s">
        <v>126</v>
      </c>
    </row>
    <row r="31" spans="1:20" ht="0.75" customHeight="1" thickBot="1" x14ac:dyDescent="0.3">
      <c r="A31" s="247"/>
      <c r="B31" s="251"/>
      <c r="C31" s="252"/>
      <c r="D31" s="237"/>
      <c r="E31" s="237"/>
      <c r="F31" s="237"/>
      <c r="G31" s="253"/>
      <c r="H31" s="236" t="s">
        <v>22</v>
      </c>
      <c r="I31" s="236" t="s">
        <v>19</v>
      </c>
      <c r="J31" s="254"/>
      <c r="K31" s="86"/>
      <c r="L31" s="86"/>
      <c r="M31" s="254"/>
      <c r="N31" s="237"/>
      <c r="O31" s="239"/>
    </row>
    <row r="32" spans="1:20" ht="28.5" customHeight="1" thickBot="1" x14ac:dyDescent="0.3">
      <c r="A32" s="248"/>
      <c r="B32" s="69" t="s">
        <v>20</v>
      </c>
      <c r="C32" s="85" t="s">
        <v>21</v>
      </c>
      <c r="D32" s="237"/>
      <c r="E32" s="237"/>
      <c r="F32" s="237"/>
      <c r="G32" s="253"/>
      <c r="H32" s="237"/>
      <c r="I32" s="237"/>
      <c r="J32" s="254"/>
      <c r="K32" s="84" t="s">
        <v>23</v>
      </c>
      <c r="L32" s="84" t="s">
        <v>24</v>
      </c>
      <c r="M32" s="254"/>
      <c r="N32" s="237"/>
      <c r="O32" s="255"/>
    </row>
    <row r="33" spans="1:19" ht="121.5" x14ac:dyDescent="0.25">
      <c r="A33" s="70"/>
      <c r="B33" s="89" t="s">
        <v>129</v>
      </c>
      <c r="C33" s="90" t="s">
        <v>130</v>
      </c>
      <c r="D33" s="89" t="s">
        <v>49</v>
      </c>
      <c r="E33" s="89"/>
      <c r="F33" s="89" t="s">
        <v>131</v>
      </c>
      <c r="G33" s="91"/>
      <c r="H33" s="91"/>
      <c r="I33" s="91"/>
      <c r="J33" s="92">
        <v>650000</v>
      </c>
      <c r="K33" s="92"/>
      <c r="L33" s="92"/>
      <c r="M33" s="92"/>
      <c r="N33" s="92"/>
      <c r="O33" s="93">
        <f>SUM(M33:N33)</f>
        <v>0</v>
      </c>
      <c r="P33" s="167">
        <f>J33*0.75</f>
        <v>487500</v>
      </c>
      <c r="Q33" s="7">
        <f>P33-O33</f>
        <v>487500</v>
      </c>
    </row>
    <row r="34" spans="1:19" ht="28.5" x14ac:dyDescent="0.25">
      <c r="A34" s="94"/>
      <c r="B34" s="52" t="s">
        <v>132</v>
      </c>
      <c r="C34" s="19" t="s">
        <v>133</v>
      </c>
      <c r="D34" s="59" t="s">
        <v>49</v>
      </c>
      <c r="E34" s="88"/>
      <c r="F34" s="52"/>
      <c r="G34" s="53"/>
      <c r="H34" s="54"/>
      <c r="I34" s="54"/>
      <c r="J34" s="51">
        <v>1070000</v>
      </c>
      <c r="K34" s="51"/>
      <c r="L34" s="51"/>
      <c r="M34" s="51"/>
      <c r="N34" s="51"/>
      <c r="O34" s="95">
        <f t="shared" ref="O34:O37" si="3">SUM(M34:N34)</f>
        <v>0</v>
      </c>
      <c r="P34" s="167">
        <f>J34*0.75</f>
        <v>802500</v>
      </c>
      <c r="Q34" s="7">
        <f>P34-(O34+O35)</f>
        <v>802500</v>
      </c>
      <c r="R34" s="167">
        <v>292787.57</v>
      </c>
    </row>
    <row r="35" spans="1:19" ht="28.5" customHeight="1" x14ac:dyDescent="0.25">
      <c r="A35" s="94"/>
      <c r="B35" s="52"/>
      <c r="C35" s="19" t="s">
        <v>134</v>
      </c>
      <c r="D35" s="59" t="s">
        <v>49</v>
      </c>
      <c r="E35" s="88"/>
      <c r="F35" s="52"/>
      <c r="G35" s="53"/>
      <c r="H35" s="54"/>
      <c r="I35" s="54"/>
      <c r="J35" s="51"/>
      <c r="K35" s="51"/>
      <c r="L35" s="51"/>
      <c r="M35" s="51"/>
      <c r="N35" s="51"/>
      <c r="O35" s="95">
        <f t="shared" si="3"/>
        <v>0</v>
      </c>
    </row>
    <row r="36" spans="1:19" x14ac:dyDescent="0.25">
      <c r="A36" s="94"/>
      <c r="B36" s="52"/>
      <c r="C36" s="19"/>
      <c r="D36" s="50"/>
      <c r="E36" s="52"/>
      <c r="F36" s="52"/>
      <c r="G36" s="53"/>
      <c r="H36" s="54"/>
      <c r="I36" s="54"/>
      <c r="J36" s="51"/>
      <c r="K36" s="55"/>
      <c r="L36" s="55"/>
      <c r="M36" s="55"/>
      <c r="N36" s="55"/>
      <c r="O36" s="95">
        <f t="shared" si="3"/>
        <v>0</v>
      </c>
      <c r="Q36" s="20"/>
      <c r="R36" s="20"/>
      <c r="S36" s="20"/>
    </row>
    <row r="37" spans="1:19" x14ac:dyDescent="0.25">
      <c r="A37" s="94"/>
      <c r="B37" s="52"/>
      <c r="C37" s="19"/>
      <c r="D37" s="50"/>
      <c r="E37" s="52"/>
      <c r="F37" s="52"/>
      <c r="G37" s="53"/>
      <c r="H37" s="54"/>
      <c r="I37" s="54"/>
      <c r="J37" s="51"/>
      <c r="K37" s="55"/>
      <c r="L37" s="55"/>
      <c r="M37" s="55"/>
      <c r="N37" s="55"/>
      <c r="O37" s="95">
        <f t="shared" si="3"/>
        <v>0</v>
      </c>
    </row>
    <row r="38" spans="1:19" x14ac:dyDescent="0.25">
      <c r="A38" s="94">
        <f>SUM(A33:A37)</f>
        <v>0</v>
      </c>
      <c r="B38" s="256" t="s">
        <v>42</v>
      </c>
      <c r="C38" s="256"/>
      <c r="D38" s="256"/>
      <c r="E38" s="256"/>
      <c r="F38" s="256"/>
      <c r="G38" s="87">
        <f>SUM(G33:G37)</f>
        <v>0</v>
      </c>
      <c r="H38" s="87">
        <f>SUM(H33:H37)</f>
        <v>0</v>
      </c>
      <c r="I38" s="87">
        <f>SUM(I33:I37)</f>
        <v>0</v>
      </c>
      <c r="J38" s="58">
        <f>SUM(J33:J37)</f>
        <v>1720000</v>
      </c>
      <c r="K38" s="58">
        <f>SUM(K33:K37)</f>
        <v>0</v>
      </c>
      <c r="L38" s="58">
        <f t="shared" ref="L38:O38" si="4">SUM(L33:L37)</f>
        <v>0</v>
      </c>
      <c r="M38" s="58">
        <f t="shared" si="4"/>
        <v>0</v>
      </c>
      <c r="N38" s="58">
        <f t="shared" si="4"/>
        <v>0</v>
      </c>
      <c r="O38" s="96">
        <f t="shared" si="4"/>
        <v>0</v>
      </c>
    </row>
    <row r="39" spans="1:19" x14ac:dyDescent="0.25">
      <c r="A39" s="257" t="s">
        <v>43</v>
      </c>
      <c r="B39" s="258"/>
      <c r="C39" s="258"/>
      <c r="D39" s="258"/>
      <c r="E39" s="258"/>
      <c r="F39" s="258"/>
      <c r="G39" s="258"/>
      <c r="H39" s="62"/>
      <c r="I39" s="62"/>
      <c r="J39" s="63"/>
      <c r="K39" s="64"/>
      <c r="L39" s="64"/>
      <c r="M39" s="64">
        <v>0</v>
      </c>
      <c r="N39" s="64">
        <f>0.1*-N38</f>
        <v>0</v>
      </c>
      <c r="O39" s="97">
        <f>SUM(N39:N39)</f>
        <v>0</v>
      </c>
    </row>
    <row r="40" spans="1:19" ht="15.75" thickBot="1" x14ac:dyDescent="0.3">
      <c r="A40" s="260" t="s">
        <v>68</v>
      </c>
      <c r="B40" s="261"/>
      <c r="C40" s="261"/>
      <c r="D40" s="261"/>
      <c r="E40" s="261"/>
      <c r="F40" s="261"/>
      <c r="G40" s="262"/>
      <c r="H40" s="60"/>
      <c r="I40" s="60"/>
      <c r="J40" s="56"/>
      <c r="K40" s="57"/>
      <c r="L40" s="57"/>
      <c r="M40" s="57">
        <f>SUM(M38:M39)</f>
        <v>0</v>
      </c>
      <c r="N40" s="61">
        <f>+N38+N39</f>
        <v>0</v>
      </c>
      <c r="O40" s="61">
        <f>+O38+O39</f>
        <v>0</v>
      </c>
      <c r="Q40" s="7"/>
    </row>
    <row r="41" spans="1:19" x14ac:dyDescent="0.25">
      <c r="A41" s="14"/>
      <c r="B41" s="14"/>
      <c r="C41" s="14"/>
      <c r="D41" s="14"/>
      <c r="E41" s="14"/>
      <c r="F41" s="14"/>
      <c r="G41" s="14"/>
      <c r="H41" s="15"/>
      <c r="I41" s="15"/>
      <c r="J41" s="16"/>
      <c r="K41" s="16"/>
      <c r="L41" s="16"/>
      <c r="M41" s="16"/>
      <c r="N41" s="16"/>
      <c r="O41" s="17"/>
    </row>
    <row r="42" spans="1:19" ht="15.75" customHeight="1" thickBot="1" x14ac:dyDescent="0.3">
      <c r="A42" s="259" t="s">
        <v>69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1"/>
      <c r="O42" s="21"/>
    </row>
    <row r="43" spans="1:19" ht="29.25" customHeight="1" thickBot="1" x14ac:dyDescent="0.3">
      <c r="A43" s="246" t="s">
        <v>7</v>
      </c>
      <c r="B43" s="249" t="s">
        <v>8</v>
      </c>
      <c r="C43" s="250"/>
      <c r="D43" s="236" t="s">
        <v>9</v>
      </c>
      <c r="E43" s="236" t="s">
        <v>10</v>
      </c>
      <c r="F43" s="236" t="s">
        <v>11</v>
      </c>
      <c r="G43" s="236" t="s">
        <v>46</v>
      </c>
      <c r="H43" s="249" t="s">
        <v>13</v>
      </c>
      <c r="I43" s="250"/>
      <c r="J43" s="236" t="s">
        <v>14</v>
      </c>
      <c r="K43" s="83"/>
      <c r="L43" s="83"/>
      <c r="M43" s="236" t="s">
        <v>15</v>
      </c>
      <c r="N43" s="236" t="s">
        <v>16</v>
      </c>
      <c r="O43" s="238" t="s">
        <v>17</v>
      </c>
      <c r="P43" s="167" t="s">
        <v>128</v>
      </c>
      <c r="Q43" s="166" t="s">
        <v>125</v>
      </c>
      <c r="R43" s="177" t="s">
        <v>126</v>
      </c>
    </row>
    <row r="44" spans="1:19" ht="2.25" customHeight="1" thickBot="1" x14ac:dyDescent="0.3">
      <c r="A44" s="247"/>
      <c r="B44" s="251"/>
      <c r="C44" s="252"/>
      <c r="D44" s="253"/>
      <c r="E44" s="253"/>
      <c r="F44" s="253"/>
      <c r="G44" s="253"/>
      <c r="H44" s="236" t="s">
        <v>22</v>
      </c>
      <c r="I44" s="236" t="s">
        <v>19</v>
      </c>
      <c r="J44" s="254"/>
      <c r="K44" s="86"/>
      <c r="L44" s="86"/>
      <c r="M44" s="254"/>
      <c r="N44" s="237"/>
      <c r="O44" s="239"/>
    </row>
    <row r="45" spans="1:19" ht="28.5" customHeight="1" x14ac:dyDescent="0.25">
      <c r="A45" s="248"/>
      <c r="B45" s="83" t="s">
        <v>20</v>
      </c>
      <c r="C45" s="85" t="s">
        <v>21</v>
      </c>
      <c r="D45" s="253"/>
      <c r="E45" s="253"/>
      <c r="F45" s="253"/>
      <c r="G45" s="253"/>
      <c r="H45" s="237"/>
      <c r="I45" s="237"/>
      <c r="J45" s="254"/>
      <c r="K45" s="84" t="s">
        <v>23</v>
      </c>
      <c r="L45" s="84" t="s">
        <v>24</v>
      </c>
      <c r="M45" s="254"/>
      <c r="N45" s="237"/>
      <c r="O45" s="255"/>
    </row>
    <row r="46" spans="1:19" ht="69.75" customHeight="1" x14ac:dyDescent="0.25">
      <c r="A46" s="125"/>
      <c r="B46" s="101" t="s">
        <v>75</v>
      </c>
      <c r="C46" s="102" t="s">
        <v>76</v>
      </c>
      <c r="D46" s="50" t="s">
        <v>72</v>
      </c>
      <c r="E46" s="103"/>
      <c r="F46" s="101" t="s">
        <v>74</v>
      </c>
      <c r="G46" s="104"/>
      <c r="H46" s="104">
        <v>0</v>
      </c>
      <c r="I46" s="104">
        <v>0</v>
      </c>
      <c r="J46" s="51">
        <v>370000</v>
      </c>
      <c r="K46" s="105"/>
      <c r="L46" s="105"/>
      <c r="M46" s="105"/>
      <c r="N46" s="105"/>
      <c r="O46" s="126">
        <f t="shared" ref="O46:O48" si="5">M46+N46</f>
        <v>0</v>
      </c>
      <c r="P46" s="167">
        <f>J46*0.75</f>
        <v>277500</v>
      </c>
      <c r="Q46" s="7">
        <f>P46-(O46+O47+O48)</f>
        <v>277500</v>
      </c>
      <c r="R46" s="167">
        <v>283511.43</v>
      </c>
    </row>
    <row r="47" spans="1:19" ht="41.25" customHeight="1" x14ac:dyDescent="0.25">
      <c r="A47" s="125"/>
      <c r="B47" s="101" t="s">
        <v>75</v>
      </c>
      <c r="C47" s="102" t="s">
        <v>76</v>
      </c>
      <c r="D47" s="50" t="s">
        <v>72</v>
      </c>
      <c r="E47" s="103"/>
      <c r="F47" s="101" t="s">
        <v>74</v>
      </c>
      <c r="G47" s="104"/>
      <c r="H47" s="104">
        <v>0</v>
      </c>
      <c r="I47" s="104">
        <v>0</v>
      </c>
      <c r="J47" s="51"/>
      <c r="K47" s="105"/>
      <c r="L47" s="105"/>
      <c r="M47" s="105"/>
      <c r="N47" s="105"/>
      <c r="O47" s="126">
        <f t="shared" si="5"/>
        <v>0</v>
      </c>
    </row>
    <row r="48" spans="1:19" ht="25.5" x14ac:dyDescent="0.25">
      <c r="A48" s="125"/>
      <c r="B48" s="101" t="s">
        <v>75</v>
      </c>
      <c r="C48" s="102" t="s">
        <v>135</v>
      </c>
      <c r="D48" s="50" t="s">
        <v>72</v>
      </c>
      <c r="E48" s="103"/>
      <c r="F48" s="101" t="s">
        <v>74</v>
      </c>
      <c r="G48" s="104"/>
      <c r="H48" s="104">
        <v>0</v>
      </c>
      <c r="I48" s="104">
        <v>0</v>
      </c>
      <c r="J48" s="51"/>
      <c r="K48" s="105"/>
      <c r="L48" s="105"/>
      <c r="M48" s="105"/>
      <c r="N48" s="105"/>
      <c r="O48" s="126">
        <f t="shared" si="5"/>
        <v>0</v>
      </c>
    </row>
    <row r="49" spans="1:18" ht="13.5" customHeight="1" x14ac:dyDescent="0.25">
      <c r="A49" s="94">
        <f>SUM(A46:A48)</f>
        <v>0</v>
      </c>
      <c r="B49" s="52"/>
      <c r="C49" s="106"/>
      <c r="D49" s="52"/>
      <c r="E49" s="106"/>
      <c r="F49" s="52"/>
      <c r="G49" s="107">
        <f>SUM(G46:G48)</f>
        <v>0</v>
      </c>
      <c r="H49" s="108">
        <f t="shared" ref="H49:N49" si="6">SUM(H46:H48)</f>
        <v>0</v>
      </c>
      <c r="I49" s="108">
        <f t="shared" si="6"/>
        <v>0</v>
      </c>
      <c r="J49" s="108">
        <f t="shared" si="6"/>
        <v>370000</v>
      </c>
      <c r="K49" s="108">
        <f t="shared" si="6"/>
        <v>0</v>
      </c>
      <c r="L49" s="108">
        <f t="shared" si="6"/>
        <v>0</v>
      </c>
      <c r="M49" s="108">
        <f t="shared" si="6"/>
        <v>0</v>
      </c>
      <c r="N49" s="108">
        <f t="shared" si="6"/>
        <v>0</v>
      </c>
      <c r="O49" s="96">
        <f t="shared" ref="O49" si="7">SUM(O46:O48)</f>
        <v>0</v>
      </c>
    </row>
    <row r="50" spans="1:18" ht="13.5" customHeight="1" x14ac:dyDescent="0.25">
      <c r="A50" s="257" t="s">
        <v>43</v>
      </c>
      <c r="B50" s="258"/>
      <c r="C50" s="258"/>
      <c r="D50" s="258"/>
      <c r="E50" s="258"/>
      <c r="F50" s="258"/>
      <c r="G50" s="258"/>
      <c r="H50" s="109"/>
      <c r="I50" s="109"/>
      <c r="J50" s="110"/>
      <c r="K50" s="111"/>
      <c r="L50" s="111"/>
      <c r="M50" s="64">
        <v>0</v>
      </c>
      <c r="N50" s="64">
        <f>-0.1*N49</f>
        <v>0</v>
      </c>
      <c r="O50" s="97">
        <f>SUM(N50:N50)</f>
        <v>0</v>
      </c>
    </row>
    <row r="51" spans="1:18" ht="14.25" customHeight="1" thickBot="1" x14ac:dyDescent="0.3">
      <c r="A51" s="260" t="s">
        <v>68</v>
      </c>
      <c r="B51" s="261"/>
      <c r="C51" s="261"/>
      <c r="D51" s="261"/>
      <c r="E51" s="261"/>
      <c r="F51" s="261"/>
      <c r="G51" s="262"/>
      <c r="H51" s="98"/>
      <c r="I51" s="98"/>
      <c r="J51" s="99"/>
      <c r="K51" s="100"/>
      <c r="L51" s="100"/>
      <c r="M51" s="57">
        <f>SUM(M49:M50)</f>
        <v>0</v>
      </c>
      <c r="N51" s="61">
        <f>+N49+N50</f>
        <v>0</v>
      </c>
      <c r="O51" s="61">
        <f>+O49+O50</f>
        <v>0</v>
      </c>
    </row>
    <row r="52" spans="1:18" ht="14.25" customHeight="1" x14ac:dyDescent="0.25">
      <c r="A52" s="22"/>
      <c r="B52" s="22"/>
      <c r="C52" s="22"/>
      <c r="D52" s="22"/>
      <c r="E52" s="22"/>
      <c r="F52" s="22"/>
      <c r="G52" s="22"/>
      <c r="H52" s="15"/>
      <c r="I52" s="15"/>
      <c r="J52" s="16"/>
      <c r="K52" s="16"/>
      <c r="L52" s="16"/>
      <c r="M52" s="23"/>
      <c r="N52" s="23"/>
      <c r="O52" s="23"/>
    </row>
    <row r="53" spans="1:18" x14ac:dyDescent="0.25">
      <c r="A53" s="22"/>
      <c r="B53" s="22"/>
      <c r="C53" s="22"/>
      <c r="D53" s="22"/>
      <c r="E53" s="22"/>
      <c r="F53" s="22"/>
      <c r="G53" s="22"/>
      <c r="H53" s="24"/>
      <c r="I53" s="24"/>
      <c r="J53" s="23"/>
      <c r="K53" s="23"/>
      <c r="L53" s="23"/>
      <c r="M53" s="23"/>
      <c r="N53" s="23"/>
      <c r="O53" s="25"/>
    </row>
    <row r="54" spans="1:18" ht="15.75" thickBot="1" x14ac:dyDescent="0.3">
      <c r="A54" s="245" t="s">
        <v>80</v>
      </c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</row>
    <row r="55" spans="1:18" ht="24.75" customHeight="1" thickBot="1" x14ac:dyDescent="0.3">
      <c r="A55" s="246" t="s">
        <v>7</v>
      </c>
      <c r="B55" s="249" t="s">
        <v>8</v>
      </c>
      <c r="C55" s="250"/>
      <c r="D55" s="236" t="s">
        <v>9</v>
      </c>
      <c r="E55" s="236" t="s">
        <v>10</v>
      </c>
      <c r="F55" s="236" t="s">
        <v>11</v>
      </c>
      <c r="G55" s="236" t="s">
        <v>81</v>
      </c>
      <c r="H55" s="249" t="s">
        <v>13</v>
      </c>
      <c r="I55" s="250"/>
      <c r="J55" s="236" t="s">
        <v>14</v>
      </c>
      <c r="K55" s="83"/>
      <c r="L55" s="83"/>
      <c r="M55" s="236" t="s">
        <v>15</v>
      </c>
      <c r="N55" s="236" t="s">
        <v>16</v>
      </c>
      <c r="O55" s="238" t="s">
        <v>82</v>
      </c>
      <c r="P55" s="167" t="s">
        <v>128</v>
      </c>
      <c r="Q55" s="166" t="s">
        <v>125</v>
      </c>
      <c r="R55" s="177" t="s">
        <v>126</v>
      </c>
    </row>
    <row r="56" spans="1:18" ht="15.75" thickBot="1" x14ac:dyDescent="0.3">
      <c r="A56" s="247"/>
      <c r="B56" s="251"/>
      <c r="C56" s="252"/>
      <c r="D56" s="237"/>
      <c r="E56" s="237"/>
      <c r="F56" s="237"/>
      <c r="G56" s="253"/>
      <c r="H56" s="236" t="s">
        <v>22</v>
      </c>
      <c r="I56" s="236" t="s">
        <v>19</v>
      </c>
      <c r="J56" s="254"/>
      <c r="K56" s="86"/>
      <c r="L56" s="86"/>
      <c r="M56" s="254"/>
      <c r="N56" s="237"/>
      <c r="O56" s="239"/>
    </row>
    <row r="57" spans="1:18" ht="27.75" customHeight="1" thickBot="1" x14ac:dyDescent="0.3">
      <c r="A57" s="247"/>
      <c r="B57" s="83" t="s">
        <v>20</v>
      </c>
      <c r="C57" s="85" t="s">
        <v>21</v>
      </c>
      <c r="D57" s="237"/>
      <c r="E57" s="237"/>
      <c r="F57" s="237"/>
      <c r="G57" s="253"/>
      <c r="H57" s="237"/>
      <c r="I57" s="237"/>
      <c r="J57" s="254"/>
      <c r="K57" s="84" t="s">
        <v>23</v>
      </c>
      <c r="L57" s="84" t="s">
        <v>24</v>
      </c>
      <c r="M57" s="254"/>
      <c r="N57" s="237"/>
      <c r="O57" s="255"/>
    </row>
    <row r="58" spans="1:18" ht="43.5" thickBot="1" x14ac:dyDescent="0.3">
      <c r="A58" s="112"/>
      <c r="B58" s="52" t="s">
        <v>83</v>
      </c>
      <c r="C58" s="52" t="s">
        <v>84</v>
      </c>
      <c r="D58" s="52" t="s">
        <v>85</v>
      </c>
      <c r="E58" s="52"/>
      <c r="F58" s="52" t="s">
        <v>86</v>
      </c>
      <c r="G58" s="54"/>
      <c r="H58" s="54"/>
      <c r="I58" s="54"/>
      <c r="J58" s="55">
        <v>250000</v>
      </c>
      <c r="K58" s="55"/>
      <c r="L58" s="55"/>
      <c r="M58" s="55"/>
      <c r="N58" s="55"/>
      <c r="O58" s="124">
        <f t="shared" ref="O58:O61" si="8">SUM(M58:N58)</f>
        <v>0</v>
      </c>
      <c r="P58" s="167">
        <f>J58*0.75</f>
        <v>187500</v>
      </c>
      <c r="Q58" s="7">
        <f>P58-O58</f>
        <v>187500</v>
      </c>
    </row>
    <row r="59" spans="1:18" ht="78" customHeight="1" thickBot="1" x14ac:dyDescent="0.3">
      <c r="A59" s="112"/>
      <c r="B59" s="52" t="s">
        <v>61</v>
      </c>
      <c r="C59" s="114" t="s">
        <v>87</v>
      </c>
      <c r="D59" s="52" t="s">
        <v>85</v>
      </c>
      <c r="E59" s="52"/>
      <c r="F59" s="52" t="s">
        <v>88</v>
      </c>
      <c r="G59" s="54"/>
      <c r="H59" s="54"/>
      <c r="I59" s="54"/>
      <c r="J59" s="55">
        <v>300000</v>
      </c>
      <c r="K59" s="55"/>
      <c r="L59" s="55"/>
      <c r="M59" s="55"/>
      <c r="N59" s="55"/>
      <c r="O59" s="124">
        <f t="shared" si="8"/>
        <v>0</v>
      </c>
      <c r="P59" s="167">
        <f t="shared" ref="P59:P60" si="9">J59*0.75</f>
        <v>225000</v>
      </c>
      <c r="Q59" s="7">
        <f>P59-(O59+O61)</f>
        <v>225000</v>
      </c>
    </row>
    <row r="60" spans="1:18" ht="57.75" customHeight="1" thickBot="1" x14ac:dyDescent="0.3">
      <c r="A60" s="112"/>
      <c r="B60" s="52" t="s">
        <v>89</v>
      </c>
      <c r="C60" s="52" t="s">
        <v>90</v>
      </c>
      <c r="D60" s="52" t="s">
        <v>85</v>
      </c>
      <c r="E60" s="88"/>
      <c r="F60" s="52" t="s">
        <v>91</v>
      </c>
      <c r="G60" s="54"/>
      <c r="H60" s="54"/>
      <c r="I60" s="54"/>
      <c r="J60" s="55">
        <v>370000</v>
      </c>
      <c r="K60" s="55"/>
      <c r="L60" s="55"/>
      <c r="M60" s="55"/>
      <c r="N60" s="55"/>
      <c r="O60" s="124">
        <f t="shared" si="8"/>
        <v>0</v>
      </c>
      <c r="P60" s="167">
        <f t="shared" si="9"/>
        <v>277500</v>
      </c>
      <c r="Q60" s="7">
        <f>P60-O60</f>
        <v>277500</v>
      </c>
      <c r="R60" s="167">
        <v>514019.37</v>
      </c>
    </row>
    <row r="61" spans="1:18" ht="57.75" thickBot="1" x14ac:dyDescent="0.3">
      <c r="A61" s="112"/>
      <c r="B61" s="52" t="s">
        <v>61</v>
      </c>
      <c r="C61" s="52" t="s">
        <v>92</v>
      </c>
      <c r="D61" s="52" t="s">
        <v>85</v>
      </c>
      <c r="E61" s="88"/>
      <c r="F61" s="52" t="s">
        <v>88</v>
      </c>
      <c r="G61" s="54"/>
      <c r="H61" s="54"/>
      <c r="I61" s="54"/>
      <c r="J61" s="55"/>
      <c r="K61" s="55"/>
      <c r="L61" s="55"/>
      <c r="M61" s="55"/>
      <c r="N61" s="55"/>
      <c r="O61" s="124">
        <f t="shared" si="8"/>
        <v>0</v>
      </c>
    </row>
    <row r="62" spans="1:18" ht="18.75" customHeight="1" thickBot="1" x14ac:dyDescent="0.3">
      <c r="A62" s="68">
        <f>SUM(A59:A61)</f>
        <v>0</v>
      </c>
      <c r="B62" s="241" t="s">
        <v>42</v>
      </c>
      <c r="C62" s="241"/>
      <c r="D62" s="241"/>
      <c r="E62" s="241"/>
      <c r="F62" s="241"/>
      <c r="G62" s="113">
        <f t="shared" ref="G62:J62" si="10">SUM(G58:G61)</f>
        <v>0</v>
      </c>
      <c r="H62" s="113">
        <f t="shared" si="10"/>
        <v>0</v>
      </c>
      <c r="I62" s="113">
        <f t="shared" si="10"/>
        <v>0</v>
      </c>
      <c r="J62" s="113">
        <f t="shared" si="10"/>
        <v>920000</v>
      </c>
      <c r="K62" s="113">
        <f>SUM(K58:K61)</f>
        <v>0</v>
      </c>
      <c r="L62" s="113">
        <f t="shared" ref="L62:R62" si="11">SUM(L58:L61)</f>
        <v>0</v>
      </c>
      <c r="M62" s="113">
        <f t="shared" si="11"/>
        <v>0</v>
      </c>
      <c r="N62" s="113">
        <f t="shared" si="11"/>
        <v>0</v>
      </c>
      <c r="O62" s="113">
        <f t="shared" si="11"/>
        <v>0</v>
      </c>
      <c r="P62" s="113">
        <f t="shared" si="11"/>
        <v>690000</v>
      </c>
      <c r="Q62" s="113">
        <f t="shared" si="11"/>
        <v>690000</v>
      </c>
      <c r="R62" s="113">
        <f t="shared" si="11"/>
        <v>514019.37</v>
      </c>
    </row>
    <row r="63" spans="1:18" ht="15" customHeight="1" thickBot="1" x14ac:dyDescent="0.3">
      <c r="A63" s="242" t="s">
        <v>43</v>
      </c>
      <c r="B63" s="243"/>
      <c r="C63" s="243"/>
      <c r="D63" s="243"/>
      <c r="E63" s="243"/>
      <c r="F63" s="243"/>
      <c r="G63" s="243"/>
      <c r="H63" s="26"/>
      <c r="I63" s="26"/>
      <c r="J63" s="27"/>
      <c r="K63" s="27"/>
      <c r="L63" s="27"/>
      <c r="M63" s="28">
        <v>0</v>
      </c>
      <c r="N63" s="28">
        <f>N62*-0.1</f>
        <v>0</v>
      </c>
      <c r="O63" s="28">
        <f>N63</f>
        <v>0</v>
      </c>
    </row>
    <row r="64" spans="1:18" ht="17.25" customHeight="1" thickBot="1" x14ac:dyDescent="0.3">
      <c r="A64" s="244" t="s">
        <v>44</v>
      </c>
      <c r="B64" s="244"/>
      <c r="C64" s="244"/>
      <c r="D64" s="244"/>
      <c r="E64" s="244"/>
      <c r="F64" s="244"/>
      <c r="G64" s="244"/>
      <c r="H64" s="29"/>
      <c r="I64" s="29"/>
      <c r="J64" s="30"/>
      <c r="K64" s="30"/>
      <c r="L64" s="30"/>
      <c r="M64" s="28">
        <f>SUM(M62:M63)</f>
        <v>0</v>
      </c>
      <c r="N64" s="28">
        <f>N62 +(N63)</f>
        <v>0</v>
      </c>
      <c r="O64" s="28">
        <f>O63+O62</f>
        <v>0</v>
      </c>
    </row>
    <row r="65" spans="1:21" ht="17.25" customHeight="1" x14ac:dyDescent="0.25">
      <c r="A65" s="131"/>
      <c r="B65" s="131"/>
      <c r="C65" s="131"/>
      <c r="D65" s="131"/>
      <c r="E65" s="131"/>
      <c r="F65" s="131"/>
      <c r="G65" s="131"/>
      <c r="H65" s="31"/>
      <c r="I65" s="31"/>
      <c r="J65" s="32"/>
      <c r="K65" s="32"/>
      <c r="L65" s="32"/>
      <c r="M65" s="33"/>
      <c r="N65" s="33"/>
      <c r="O65" s="33"/>
      <c r="P65" s="168"/>
      <c r="Q65" s="130"/>
      <c r="R65" s="130"/>
      <c r="S65" s="130"/>
      <c r="T65" s="130"/>
      <c r="U65" s="130"/>
    </row>
    <row r="66" spans="1:21" ht="17.25" customHeight="1" x14ac:dyDescent="0.25">
      <c r="A66" s="131"/>
      <c r="B66" s="311" t="s">
        <v>93</v>
      </c>
      <c r="C66" s="311"/>
      <c r="D66" s="311"/>
      <c r="E66" s="311"/>
      <c r="F66" s="311"/>
      <c r="G66" s="311"/>
      <c r="H66" s="31"/>
      <c r="I66" s="308" t="s">
        <v>94</v>
      </c>
      <c r="J66" s="309"/>
      <c r="K66" s="309"/>
      <c r="L66" s="309"/>
      <c r="M66" s="309"/>
      <c r="N66" s="309"/>
      <c r="O66" s="33"/>
      <c r="P66" s="307" t="s">
        <v>136</v>
      </c>
      <c r="Q66" s="286"/>
      <c r="R66" s="286"/>
      <c r="S66" s="286"/>
      <c r="T66" s="286"/>
      <c r="U66" s="286"/>
    </row>
    <row r="67" spans="1:21" ht="17.25" customHeight="1" thickBot="1" x14ac:dyDescent="0.3">
      <c r="A67" s="24"/>
      <c r="B67" s="312"/>
      <c r="C67" s="312"/>
      <c r="D67" s="312"/>
      <c r="E67" s="312"/>
      <c r="F67" s="312"/>
      <c r="G67" s="312"/>
      <c r="H67" s="31"/>
      <c r="I67" s="31"/>
      <c r="J67" s="32"/>
      <c r="K67" s="32"/>
      <c r="L67" s="32"/>
      <c r="M67" s="33"/>
      <c r="N67" s="33"/>
      <c r="O67" s="33"/>
    </row>
    <row r="68" spans="1:21" ht="48" thickBot="1" x14ac:dyDescent="0.3">
      <c r="A68" s="306" t="s">
        <v>96</v>
      </c>
      <c r="B68" s="306"/>
      <c r="C68" s="306"/>
      <c r="D68" s="306" t="s">
        <v>97</v>
      </c>
      <c r="E68" s="306"/>
      <c r="F68" s="306" t="s">
        <v>98</v>
      </c>
      <c r="G68" s="306"/>
      <c r="H68" s="31"/>
      <c r="I68" s="71" t="s">
        <v>99</v>
      </c>
      <c r="J68" s="72" t="s">
        <v>100</v>
      </c>
      <c r="K68" s="73" t="s">
        <v>101</v>
      </c>
      <c r="L68" s="73" t="s">
        <v>102</v>
      </c>
      <c r="M68" s="74" t="s">
        <v>103</v>
      </c>
      <c r="N68" s="75" t="s">
        <v>68</v>
      </c>
      <c r="O68" s="33"/>
      <c r="P68" s="169" t="s">
        <v>99</v>
      </c>
      <c r="Q68" s="72" t="s">
        <v>100</v>
      </c>
      <c r="R68" s="73" t="s">
        <v>101</v>
      </c>
      <c r="S68" s="73" t="s">
        <v>102</v>
      </c>
      <c r="T68" s="74" t="s">
        <v>103</v>
      </c>
      <c r="U68" s="75" t="s">
        <v>68</v>
      </c>
    </row>
    <row r="69" spans="1:21" ht="27.75" customHeight="1" thickBot="1" x14ac:dyDescent="0.3">
      <c r="A69" s="281" t="s">
        <v>104</v>
      </c>
      <c r="B69" s="281"/>
      <c r="C69" s="281"/>
      <c r="D69" s="274">
        <v>666666.67000000004</v>
      </c>
      <c r="E69" s="274"/>
      <c r="F69" s="274">
        <f>F77</f>
        <v>0</v>
      </c>
      <c r="G69" s="274"/>
      <c r="H69" s="31"/>
      <c r="I69" s="76" t="s">
        <v>24</v>
      </c>
      <c r="J69" s="34">
        <f>L25</f>
        <v>0</v>
      </c>
      <c r="K69" s="34">
        <f>L49</f>
        <v>0</v>
      </c>
      <c r="L69" s="34">
        <f>L38</f>
        <v>0</v>
      </c>
      <c r="M69" s="35">
        <f>L62</f>
        <v>0</v>
      </c>
      <c r="N69" s="36">
        <f>SUM(J69:M69)</f>
        <v>0</v>
      </c>
      <c r="O69" s="129"/>
      <c r="P69" s="170" t="s">
        <v>24</v>
      </c>
      <c r="Q69" s="34"/>
      <c r="R69" s="34"/>
      <c r="S69" s="34"/>
      <c r="T69" s="35"/>
      <c r="U69" s="36">
        <f>SUM(Q69:T69)</f>
        <v>0</v>
      </c>
    </row>
    <row r="70" spans="1:21" ht="20.100000000000001" customHeight="1" thickBot="1" x14ac:dyDescent="0.3">
      <c r="A70" s="281" t="s">
        <v>105</v>
      </c>
      <c r="B70" s="281"/>
      <c r="C70" s="281"/>
      <c r="D70" s="283">
        <v>0</v>
      </c>
      <c r="E70" s="283"/>
      <c r="F70" s="244">
        <f>A36+A35</f>
        <v>0</v>
      </c>
      <c r="G70" s="244"/>
      <c r="H70" s="128"/>
      <c r="I70" s="77" t="s">
        <v>106</v>
      </c>
      <c r="J70" s="37">
        <f>K25</f>
        <v>0</v>
      </c>
      <c r="K70" s="34">
        <f>K49</f>
        <v>0</v>
      </c>
      <c r="L70" s="37">
        <f>K38</f>
        <v>0</v>
      </c>
      <c r="M70" s="38">
        <f>K62</f>
        <v>0</v>
      </c>
      <c r="N70" s="39">
        <f t="shared" ref="N70:N72" si="12">SUM(J70:M70)</f>
        <v>0</v>
      </c>
      <c r="O70" s="129"/>
      <c r="P70" s="171" t="s">
        <v>106</v>
      </c>
      <c r="Q70" s="37"/>
      <c r="R70" s="34"/>
      <c r="S70" s="37"/>
      <c r="T70" s="38"/>
      <c r="U70" s="39">
        <f t="shared" ref="U70:U72" si="13">SUM(Q70:T70)</f>
        <v>0</v>
      </c>
    </row>
    <row r="71" spans="1:21" ht="31.5" customHeight="1" thickBot="1" x14ac:dyDescent="0.3">
      <c r="A71" s="276" t="s">
        <v>107</v>
      </c>
      <c r="B71" s="277"/>
      <c r="C71" s="278"/>
      <c r="D71" s="279"/>
      <c r="E71" s="280"/>
      <c r="F71" s="244">
        <f>(A62+A49+A38+A25)-F70</f>
        <v>0</v>
      </c>
      <c r="G71" s="244"/>
      <c r="H71" s="128"/>
      <c r="I71" s="78" t="s">
        <v>108</v>
      </c>
      <c r="J71" s="40">
        <f>O27</f>
        <v>0</v>
      </c>
      <c r="K71" s="40">
        <f>O51</f>
        <v>0</v>
      </c>
      <c r="L71" s="40">
        <f>O40</f>
        <v>0</v>
      </c>
      <c r="M71" s="41">
        <f>O64</f>
        <v>0</v>
      </c>
      <c r="N71" s="42">
        <f t="shared" si="12"/>
        <v>0</v>
      </c>
      <c r="O71" s="129"/>
      <c r="P71" s="172" t="s">
        <v>108</v>
      </c>
      <c r="Q71" s="40"/>
      <c r="R71" s="40"/>
      <c r="S71" s="40"/>
      <c r="T71" s="41"/>
      <c r="U71" s="42">
        <f t="shared" si="13"/>
        <v>0</v>
      </c>
    </row>
    <row r="72" spans="1:21" ht="20.100000000000001" customHeight="1" thickBot="1" x14ac:dyDescent="0.3">
      <c r="A72" s="281" t="s">
        <v>109</v>
      </c>
      <c r="B72" s="281"/>
      <c r="C72" s="281"/>
      <c r="D72" s="282">
        <v>0</v>
      </c>
      <c r="E72" s="282"/>
      <c r="F72" s="244">
        <f>(H25+I25)+(H38+I38)+(H49+I49)+(H62+I62)</f>
        <v>0</v>
      </c>
      <c r="G72" s="244"/>
      <c r="H72" s="24"/>
      <c r="I72" s="79" t="s">
        <v>68</v>
      </c>
      <c r="J72" s="80">
        <f>SUM(J69:J71)</f>
        <v>0</v>
      </c>
      <c r="K72" s="80">
        <f t="shared" ref="K72:M72" si="14">SUM(K69:K71)</f>
        <v>0</v>
      </c>
      <c r="L72" s="80">
        <f t="shared" si="14"/>
        <v>0</v>
      </c>
      <c r="M72" s="81">
        <f t="shared" si="14"/>
        <v>0</v>
      </c>
      <c r="N72" s="82">
        <f t="shared" si="12"/>
        <v>0</v>
      </c>
      <c r="O72" s="25"/>
      <c r="P72" s="173" t="s">
        <v>68</v>
      </c>
      <c r="Q72" s="80">
        <f>SUM(Q69:Q71)</f>
        <v>0</v>
      </c>
      <c r="R72" s="80">
        <f t="shared" ref="R72:T72" si="15">SUM(R69:R71)</f>
        <v>0</v>
      </c>
      <c r="S72" s="80">
        <f t="shared" si="15"/>
        <v>0</v>
      </c>
      <c r="T72" s="81">
        <f t="shared" si="15"/>
        <v>0</v>
      </c>
      <c r="U72" s="82">
        <f t="shared" si="13"/>
        <v>0</v>
      </c>
    </row>
    <row r="73" spans="1:21" ht="20.100000000000001" customHeight="1" thickBot="1" x14ac:dyDescent="0.3">
      <c r="A73" s="281" t="s">
        <v>110</v>
      </c>
      <c r="B73" s="281"/>
      <c r="C73" s="281"/>
      <c r="D73" s="282"/>
      <c r="E73" s="282"/>
      <c r="F73" s="301">
        <f>G25+G38+G49+G62</f>
        <v>0</v>
      </c>
      <c r="G73" s="244"/>
      <c r="H73" s="24"/>
      <c r="I73" s="310" t="s">
        <v>137</v>
      </c>
      <c r="J73" s="310"/>
      <c r="K73" s="310"/>
      <c r="L73" s="310"/>
      <c r="M73" s="310"/>
      <c r="N73" s="310"/>
      <c r="O73" s="25"/>
      <c r="P73" s="307" t="s">
        <v>138</v>
      </c>
      <c r="Q73" s="286"/>
      <c r="R73" s="286"/>
      <c r="S73" s="286"/>
      <c r="T73" s="286"/>
      <c r="U73" s="286"/>
    </row>
    <row r="74" spans="1:21" ht="20.100000000000001" customHeight="1" thickBot="1" x14ac:dyDescent="0.3">
      <c r="A74" s="300" t="s">
        <v>111</v>
      </c>
      <c r="B74" s="300"/>
      <c r="C74" s="300"/>
      <c r="D74" s="274"/>
      <c r="E74" s="274"/>
      <c r="F74" s="275">
        <f>M62+M49+M38+M25</f>
        <v>0</v>
      </c>
      <c r="G74" s="275"/>
      <c r="H74" s="128"/>
      <c r="I74" s="71" t="s">
        <v>99</v>
      </c>
      <c r="J74" s="72" t="s">
        <v>100</v>
      </c>
      <c r="K74" s="73" t="s">
        <v>101</v>
      </c>
      <c r="L74" s="138" t="s">
        <v>102</v>
      </c>
      <c r="M74" s="139" t="s">
        <v>103</v>
      </c>
      <c r="N74" s="75" t="s">
        <v>68</v>
      </c>
      <c r="O74" s="25"/>
      <c r="P74" s="169" t="s">
        <v>99</v>
      </c>
      <c r="Q74" s="72" t="s">
        <v>100</v>
      </c>
      <c r="R74" s="73" t="s">
        <v>101</v>
      </c>
      <c r="S74" s="73" t="s">
        <v>102</v>
      </c>
      <c r="T74" s="74" t="s">
        <v>103</v>
      </c>
      <c r="U74" s="75" t="s">
        <v>68</v>
      </c>
    </row>
    <row r="75" spans="1:21" ht="20.100000000000001" customHeight="1" thickBot="1" x14ac:dyDescent="0.3">
      <c r="A75" s="300" t="s">
        <v>113</v>
      </c>
      <c r="B75" s="300"/>
      <c r="C75" s="300"/>
      <c r="D75" s="274"/>
      <c r="E75" s="274"/>
      <c r="F75" s="275">
        <f>N62+N49+N38+N25</f>
        <v>0</v>
      </c>
      <c r="G75" s="275"/>
      <c r="H75" s="128"/>
      <c r="I75" s="76" t="s">
        <v>24</v>
      </c>
      <c r="J75" s="132" t="e">
        <f>J69/Q69</f>
        <v>#DIV/0!</v>
      </c>
      <c r="K75" s="132" t="e">
        <f>R69/K69</f>
        <v>#DIV/0!</v>
      </c>
      <c r="L75" s="132" t="e">
        <f>L69/S69</f>
        <v>#DIV/0!</v>
      </c>
      <c r="M75" s="133" t="e">
        <f>M69/T69</f>
        <v>#DIV/0!</v>
      </c>
      <c r="N75" s="134" t="e">
        <f>N69/U69</f>
        <v>#DIV/0!</v>
      </c>
      <c r="O75" s="25"/>
      <c r="P75" s="174" t="s">
        <v>105</v>
      </c>
      <c r="Q75" s="144"/>
      <c r="R75" s="142"/>
      <c r="S75" s="142"/>
      <c r="T75" s="155"/>
      <c r="U75" s="157"/>
    </row>
    <row r="76" spans="1:21" ht="20.100000000000001" customHeight="1" thickBot="1" x14ac:dyDescent="0.3">
      <c r="A76" s="300" t="s">
        <v>114</v>
      </c>
      <c r="B76" s="300"/>
      <c r="C76" s="300"/>
      <c r="D76" s="274"/>
      <c r="E76" s="274"/>
      <c r="F76" s="275">
        <f>(N63+N50+N39+N26)</f>
        <v>0</v>
      </c>
      <c r="G76" s="275"/>
      <c r="H76" s="128"/>
      <c r="I76" s="77" t="s">
        <v>106</v>
      </c>
      <c r="J76" s="132" t="e">
        <f t="shared" ref="J76:J77" si="16">J70/Q70</f>
        <v>#DIV/0!</v>
      </c>
      <c r="K76" s="132" t="e">
        <f t="shared" ref="K76:K77" si="17">R70/K70</f>
        <v>#DIV/0!</v>
      </c>
      <c r="L76" s="132" t="e">
        <f t="shared" ref="L76:L77" si="18">L70/S70</f>
        <v>#DIV/0!</v>
      </c>
      <c r="M76" s="133" t="e">
        <f t="shared" ref="M76:M77" si="19">M70/T70</f>
        <v>#DIV/0!</v>
      </c>
      <c r="N76" s="134" t="e">
        <f t="shared" ref="N76:N77" si="20">N70/U70</f>
        <v>#DIV/0!</v>
      </c>
      <c r="O76" s="25"/>
      <c r="P76" s="175" t="s">
        <v>118</v>
      </c>
      <c r="Q76" s="145"/>
      <c r="R76" s="142"/>
      <c r="S76" s="154"/>
      <c r="T76" s="156"/>
      <c r="U76" s="157"/>
    </row>
    <row r="77" spans="1:21" ht="20.100000000000001" customHeight="1" thickBot="1" x14ac:dyDescent="0.3">
      <c r="A77" s="291" t="s">
        <v>115</v>
      </c>
      <c r="B77" s="291"/>
      <c r="C77" s="291"/>
      <c r="D77" s="292">
        <f>SUM(D74:E76)</f>
        <v>0</v>
      </c>
      <c r="E77" s="292"/>
      <c r="F77" s="293">
        <f>F74+F75+F76</f>
        <v>0</v>
      </c>
      <c r="G77" s="293"/>
      <c r="H77" s="127"/>
      <c r="I77" s="78" t="s">
        <v>108</v>
      </c>
      <c r="J77" s="132" t="e">
        <f t="shared" si="16"/>
        <v>#DIV/0!</v>
      </c>
      <c r="K77" s="132" t="e">
        <f t="shared" si="17"/>
        <v>#DIV/0!</v>
      </c>
      <c r="L77" s="132" t="e">
        <f t="shared" si="18"/>
        <v>#DIV/0!</v>
      </c>
      <c r="M77" s="133" t="e">
        <f t="shared" si="19"/>
        <v>#DIV/0!</v>
      </c>
      <c r="N77" s="134" t="e">
        <f t="shared" si="20"/>
        <v>#DIV/0!</v>
      </c>
      <c r="O77" s="25"/>
      <c r="P77" s="172" t="s">
        <v>119</v>
      </c>
      <c r="Q77" s="145"/>
      <c r="R77" s="142"/>
      <c r="S77" s="154"/>
      <c r="T77" s="156"/>
      <c r="U77" s="157"/>
    </row>
    <row r="78" spans="1:21" ht="20.100000000000001" customHeight="1" thickBot="1" x14ac:dyDescent="0.3">
      <c r="A78" s="43"/>
      <c r="B78" s="43"/>
      <c r="C78" s="43"/>
      <c r="D78" s="43"/>
      <c r="E78" s="43"/>
      <c r="F78" s="43"/>
      <c r="G78" s="127"/>
      <c r="H78" s="127"/>
      <c r="I78" s="79" t="s">
        <v>68</v>
      </c>
      <c r="J78" s="135" t="e">
        <f>J72/Q72</f>
        <v>#DIV/0!</v>
      </c>
      <c r="K78" s="135" t="e">
        <f>K72/R72</f>
        <v>#DIV/0!</v>
      </c>
      <c r="L78" s="135" t="e">
        <f>L72/S72</f>
        <v>#DIV/0!</v>
      </c>
      <c r="M78" s="136" t="e">
        <f>M72/T72</f>
        <v>#DIV/0!</v>
      </c>
      <c r="N78" s="137" t="e">
        <f>N72/U72</f>
        <v>#DIV/0!</v>
      </c>
      <c r="O78" s="43"/>
      <c r="P78" s="172" t="s">
        <v>120</v>
      </c>
      <c r="Q78" s="145"/>
      <c r="R78" s="142"/>
      <c r="S78" s="154"/>
      <c r="T78" s="156"/>
      <c r="U78" s="157"/>
    </row>
    <row r="79" spans="1:21" x14ac:dyDescent="0.25">
      <c r="A79" s="43"/>
      <c r="B79" s="294"/>
      <c r="C79" s="294"/>
      <c r="D79" s="294"/>
      <c r="E79" s="44"/>
      <c r="F79" s="44"/>
      <c r="G79" s="44"/>
      <c r="I79" s="43"/>
      <c r="J79" s="43"/>
      <c r="K79" s="43"/>
      <c r="L79" s="43"/>
      <c r="M79" s="43"/>
      <c r="N79" s="43"/>
      <c r="O79" s="43"/>
      <c r="P79" s="172" t="s">
        <v>121</v>
      </c>
      <c r="Q79" s="147"/>
      <c r="R79" s="142"/>
      <c r="S79" s="154"/>
      <c r="T79" s="38"/>
      <c r="U79" s="157"/>
    </row>
    <row r="80" spans="1:21" ht="15.75" thickBot="1" x14ac:dyDescent="0.3">
      <c r="A80" s="43"/>
      <c r="B80" s="45"/>
      <c r="C80" s="45"/>
      <c r="D80" s="45"/>
      <c r="E80" s="46"/>
      <c r="F80" s="45"/>
      <c r="G80" s="47"/>
      <c r="H80" s="45"/>
      <c r="I80" s="305" t="s">
        <v>116</v>
      </c>
      <c r="J80" s="305"/>
      <c r="K80" s="305"/>
      <c r="L80" s="305"/>
      <c r="M80" s="305"/>
      <c r="N80" s="305"/>
      <c r="O80" s="43"/>
      <c r="P80" s="172" t="s">
        <v>123</v>
      </c>
      <c r="Q80" s="146"/>
      <c r="R80" s="40"/>
      <c r="S80" s="40"/>
      <c r="T80" s="41"/>
      <c r="U80" s="157"/>
    </row>
    <row r="81" spans="1:21" ht="32.25" thickBot="1" x14ac:dyDescent="0.3">
      <c r="A81" s="43"/>
      <c r="B81" s="45"/>
      <c r="C81" s="45"/>
      <c r="D81" s="45"/>
      <c r="E81" s="46"/>
      <c r="F81" s="45"/>
      <c r="G81" s="47"/>
      <c r="H81" s="45"/>
      <c r="I81" s="71" t="s">
        <v>99</v>
      </c>
      <c r="J81" s="72" t="s">
        <v>100</v>
      </c>
      <c r="K81" s="73" t="s">
        <v>101</v>
      </c>
      <c r="L81" s="73" t="s">
        <v>102</v>
      </c>
      <c r="M81" s="74" t="s">
        <v>103</v>
      </c>
      <c r="N81" s="75" t="s">
        <v>68</v>
      </c>
      <c r="O81" s="43"/>
      <c r="P81" s="173" t="s">
        <v>68</v>
      </c>
      <c r="Q81" s="143">
        <f>Q79+Q80</f>
        <v>0</v>
      </c>
      <c r="R81" s="80">
        <f>R79+R80</f>
        <v>0</v>
      </c>
      <c r="S81" s="80">
        <f t="shared" ref="S81:U81" si="21">S79+S80</f>
        <v>0</v>
      </c>
      <c r="T81" s="80">
        <f t="shared" si="21"/>
        <v>0</v>
      </c>
      <c r="U81" s="80">
        <f t="shared" si="21"/>
        <v>0</v>
      </c>
    </row>
    <row r="82" spans="1:21" x14ac:dyDescent="0.25">
      <c r="A82" s="43"/>
      <c r="B82" s="298"/>
      <c r="C82" s="298"/>
      <c r="D82" s="298"/>
      <c r="E82" s="299"/>
      <c r="F82" s="299"/>
      <c r="G82" s="299"/>
      <c r="H82" s="48"/>
      <c r="I82" s="140" t="s">
        <v>105</v>
      </c>
      <c r="J82" s="148" t="e">
        <f>0/Q75</f>
        <v>#DIV/0!</v>
      </c>
      <c r="K82" s="148" t="e">
        <f>0/0</f>
        <v>#DIV/0!</v>
      </c>
      <c r="L82" s="144" t="e">
        <f>0/S75</f>
        <v>#DIV/0!</v>
      </c>
      <c r="M82" s="133" t="e">
        <f>0/T75</f>
        <v>#DIV/0!</v>
      </c>
      <c r="N82" s="134">
        <v>0</v>
      </c>
      <c r="O82" s="43"/>
    </row>
    <row r="83" spans="1:21" x14ac:dyDescent="0.25">
      <c r="A83" s="43"/>
      <c r="B83" s="284"/>
      <c r="C83" s="284"/>
      <c r="D83" s="284"/>
      <c r="E83" s="285"/>
      <c r="F83" s="285"/>
      <c r="G83" s="285"/>
      <c r="H83" s="45"/>
      <c r="I83" s="141" t="s">
        <v>118</v>
      </c>
      <c r="J83" s="149" t="e">
        <f>A25/Q76</f>
        <v>#DIV/0!</v>
      </c>
      <c r="K83" s="148" t="e">
        <f>A49/R76</f>
        <v>#DIV/0!</v>
      </c>
      <c r="L83" s="158" t="e">
        <f>A38/S76</f>
        <v>#DIV/0!</v>
      </c>
      <c r="M83" s="159" t="e">
        <f>A62/T76</f>
        <v>#DIV/0!</v>
      </c>
      <c r="N83" s="164" t="e">
        <f>F71/D71</f>
        <v>#DIV/0!</v>
      </c>
      <c r="O83" s="43"/>
    </row>
    <row r="84" spans="1:21" x14ac:dyDescent="0.25">
      <c r="A84" s="43"/>
      <c r="B84" s="43"/>
      <c r="C84" s="43"/>
      <c r="D84" s="43"/>
      <c r="E84" s="43"/>
      <c r="F84" s="43"/>
      <c r="G84" s="43"/>
      <c r="H84" s="43"/>
      <c r="I84" s="78" t="s">
        <v>119</v>
      </c>
      <c r="J84" s="149" t="e">
        <f>H25+I25/Q77</f>
        <v>#DIV/0!</v>
      </c>
      <c r="K84" s="144" t="e">
        <f>0/R77</f>
        <v>#DIV/0!</v>
      </c>
      <c r="L84" s="149">
        <v>0</v>
      </c>
      <c r="M84" s="159" t="e">
        <f>H62+I62/T77</f>
        <v>#DIV/0!</v>
      </c>
      <c r="N84" s="165">
        <v>0</v>
      </c>
      <c r="O84" s="43"/>
    </row>
    <row r="85" spans="1:21" x14ac:dyDescent="0.25">
      <c r="A85" s="43"/>
      <c r="B85" s="43"/>
      <c r="C85" s="43"/>
      <c r="D85" s="43"/>
      <c r="E85" s="43"/>
      <c r="F85" s="43"/>
      <c r="G85" s="43"/>
      <c r="H85" s="43"/>
      <c r="I85" s="78" t="s">
        <v>120</v>
      </c>
      <c r="J85" s="149" t="e">
        <f>G25/Q78</f>
        <v>#DIV/0!</v>
      </c>
      <c r="K85" s="148" t="e">
        <f>G49/R78</f>
        <v>#DIV/0!</v>
      </c>
      <c r="L85" s="149" t="e">
        <f>G38/S78</f>
        <v>#DIV/0!</v>
      </c>
      <c r="M85" s="159">
        <f>G62+T78</f>
        <v>0</v>
      </c>
      <c r="N85" s="163" t="e">
        <f>F73/D73</f>
        <v>#DIV/0!</v>
      </c>
      <c r="O85" s="43"/>
    </row>
    <row r="86" spans="1:21" x14ac:dyDescent="0.25">
      <c r="A86" s="43"/>
      <c r="B86" s="43"/>
      <c r="C86" s="43"/>
      <c r="D86" s="43"/>
      <c r="E86" s="43"/>
      <c r="F86" s="43"/>
      <c r="G86" s="43"/>
      <c r="H86" s="43"/>
      <c r="I86" s="78" t="s">
        <v>121</v>
      </c>
      <c r="J86" s="149" t="e">
        <f>M25/Q79</f>
        <v>#DIV/0!</v>
      </c>
      <c r="K86" s="148" t="e">
        <f>M49/R79</f>
        <v>#DIV/0!</v>
      </c>
      <c r="L86" s="149">
        <v>0</v>
      </c>
      <c r="M86" s="159" t="e">
        <f>M62/T79</f>
        <v>#DIV/0!</v>
      </c>
      <c r="N86" s="150" t="e">
        <f>F74/D74</f>
        <v>#DIV/0!</v>
      </c>
      <c r="O86" s="43"/>
    </row>
    <row r="87" spans="1:21" x14ac:dyDescent="0.25">
      <c r="A87" s="43"/>
      <c r="B87" s="43"/>
      <c r="C87" s="43"/>
      <c r="D87" s="43"/>
      <c r="E87" s="43"/>
      <c r="F87" s="43"/>
      <c r="G87" s="43"/>
      <c r="H87" s="43"/>
      <c r="I87" s="78" t="s">
        <v>122</v>
      </c>
      <c r="J87" s="151" t="e">
        <f>N27/Q80</f>
        <v>#DIV/0!</v>
      </c>
      <c r="K87" s="151" t="e">
        <f>N51/R80</f>
        <v>#DIV/0!</v>
      </c>
      <c r="L87" s="151" t="e">
        <f>N40/S80</f>
        <v>#DIV/0!</v>
      </c>
      <c r="M87" s="160" t="e">
        <f>N64/T80</f>
        <v>#DIV/0!</v>
      </c>
      <c r="N87" s="152" t="e">
        <f>F75/D75</f>
        <v>#DIV/0!</v>
      </c>
      <c r="O87" s="43"/>
    </row>
    <row r="88" spans="1:21" ht="15.75" thickBot="1" x14ac:dyDescent="0.3">
      <c r="A88" s="43"/>
      <c r="B88" s="43"/>
      <c r="C88" s="43"/>
      <c r="D88" s="43"/>
      <c r="E88" s="43"/>
      <c r="F88" s="43"/>
      <c r="G88" s="43"/>
      <c r="H88" s="43"/>
      <c r="I88" s="79" t="s">
        <v>68</v>
      </c>
      <c r="J88" s="153" t="e">
        <f>J72/Q81</f>
        <v>#DIV/0!</v>
      </c>
      <c r="K88" s="153" t="e">
        <f>O51/R81</f>
        <v>#DIV/0!</v>
      </c>
      <c r="L88" s="153" t="e">
        <f>O40/S81</f>
        <v>#DIV/0!</v>
      </c>
      <c r="M88" s="161" t="e">
        <f>O64/T81</f>
        <v>#DIV/0!</v>
      </c>
      <c r="N88" s="162" t="e">
        <f>F77/U81</f>
        <v>#DIV/0!</v>
      </c>
      <c r="O88" s="43"/>
    </row>
    <row r="89" spans="1:2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</row>
    <row r="90" spans="1:2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</row>
    <row r="91" spans="1:2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</row>
    <row r="92" spans="1:2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</row>
    <row r="93" spans="1:2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</row>
    <row r="94" spans="1:2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</row>
    <row r="95" spans="1:2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</row>
    <row r="96" spans="1:2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</row>
    <row r="97" spans="1:15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</row>
    <row r="98" spans="1:1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</row>
    <row r="99" spans="1:1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</row>
    <row r="141" spans="1:15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</row>
    <row r="142" spans="1:15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</row>
    <row r="143" spans="1:15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</sheetData>
  <mergeCells count="113">
    <mergeCell ref="P73:U73"/>
    <mergeCell ref="P66:U66"/>
    <mergeCell ref="I66:N66"/>
    <mergeCell ref="I73:N73"/>
    <mergeCell ref="B66:G67"/>
    <mergeCell ref="B83:D83"/>
    <mergeCell ref="E83:G83"/>
    <mergeCell ref="A77:C77"/>
    <mergeCell ref="D77:E77"/>
    <mergeCell ref="F77:G77"/>
    <mergeCell ref="B79:D79"/>
    <mergeCell ref="B82:D82"/>
    <mergeCell ref="E82:G82"/>
    <mergeCell ref="A75:C75"/>
    <mergeCell ref="D75:E75"/>
    <mergeCell ref="F75:G75"/>
    <mergeCell ref="A76:C76"/>
    <mergeCell ref="D76:E76"/>
    <mergeCell ref="F76:G76"/>
    <mergeCell ref="A73:C73"/>
    <mergeCell ref="D73:E73"/>
    <mergeCell ref="F73:G73"/>
    <mergeCell ref="A74:C74"/>
    <mergeCell ref="D74:E74"/>
    <mergeCell ref="F74:G74"/>
    <mergeCell ref="A71:C71"/>
    <mergeCell ref="D71:E71"/>
    <mergeCell ref="F71:G71"/>
    <mergeCell ref="A72:C72"/>
    <mergeCell ref="D72:E72"/>
    <mergeCell ref="F72:G72"/>
    <mergeCell ref="A69:C69"/>
    <mergeCell ref="D69:E69"/>
    <mergeCell ref="F69:G69"/>
    <mergeCell ref="A70:C70"/>
    <mergeCell ref="D70:E70"/>
    <mergeCell ref="F70:G70"/>
    <mergeCell ref="B62:F62"/>
    <mergeCell ref="A63:G63"/>
    <mergeCell ref="A64:G64"/>
    <mergeCell ref="A68:C68"/>
    <mergeCell ref="D68:E68"/>
    <mergeCell ref="F68:G68"/>
    <mergeCell ref="J55:J57"/>
    <mergeCell ref="M55:M57"/>
    <mergeCell ref="N55:N57"/>
    <mergeCell ref="O55:O57"/>
    <mergeCell ref="H56:H57"/>
    <mergeCell ref="I56:I57"/>
    <mergeCell ref="A50:G50"/>
    <mergeCell ref="A51:G51"/>
    <mergeCell ref="A54:O54"/>
    <mergeCell ref="A55:A57"/>
    <mergeCell ref="B55:C56"/>
    <mergeCell ref="D55:D57"/>
    <mergeCell ref="E55:E57"/>
    <mergeCell ref="F55:F57"/>
    <mergeCell ref="G55:G57"/>
    <mergeCell ref="H55:I55"/>
    <mergeCell ref="M43:M45"/>
    <mergeCell ref="N43:N45"/>
    <mergeCell ref="O43:O45"/>
    <mergeCell ref="H44:H45"/>
    <mergeCell ref="I44:I45"/>
    <mergeCell ref="A40:G40"/>
    <mergeCell ref="A42:M42"/>
    <mergeCell ref="A43:A45"/>
    <mergeCell ref="B43:C44"/>
    <mergeCell ref="D43:D45"/>
    <mergeCell ref="E43:E45"/>
    <mergeCell ref="F43:F45"/>
    <mergeCell ref="G43:G45"/>
    <mergeCell ref="H43:I43"/>
    <mergeCell ref="J43:J45"/>
    <mergeCell ref="O30:O32"/>
    <mergeCell ref="H31:H32"/>
    <mergeCell ref="I31:I32"/>
    <mergeCell ref="B38:F38"/>
    <mergeCell ref="A39:G39"/>
    <mergeCell ref="A29:M29"/>
    <mergeCell ref="A30:A32"/>
    <mergeCell ref="B30:C31"/>
    <mergeCell ref="D30:D32"/>
    <mergeCell ref="E30:E32"/>
    <mergeCell ref="F30:F32"/>
    <mergeCell ref="G30:G32"/>
    <mergeCell ref="H30:I30"/>
    <mergeCell ref="J30:J32"/>
    <mergeCell ref="M30:M32"/>
    <mergeCell ref="I80:N80"/>
    <mergeCell ref="A1:O1"/>
    <mergeCell ref="A3:O3"/>
    <mergeCell ref="A4:O4"/>
    <mergeCell ref="A6:O6"/>
    <mergeCell ref="A8:N9"/>
    <mergeCell ref="A11:N11"/>
    <mergeCell ref="N15:N17"/>
    <mergeCell ref="O15:O17"/>
    <mergeCell ref="I16:I17"/>
    <mergeCell ref="B25:F25"/>
    <mergeCell ref="A26:G26"/>
    <mergeCell ref="A27:G27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N30:N32"/>
  </mergeCells>
  <phoneticPr fontId="20" type="noConversion"/>
  <conditionalFormatting sqref="J69:M71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{CADDAD4A-2835-47CE-950C-E233AB5615AA}</x14:id>
        </ext>
      </extLst>
    </cfRule>
  </conditionalFormatting>
  <conditionalFormatting sqref="J75:M77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{18B213F1-C412-4936-9962-5AEDBE709147}</x14:id>
        </ext>
      </extLst>
    </cfRule>
  </conditionalFormatting>
  <conditionalFormatting sqref="J82:M87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{796A65E4-436A-4CD3-8F56-7D0542E7A91F}</x14:id>
        </ext>
      </extLst>
    </cfRule>
  </conditionalFormatting>
  <conditionalFormatting sqref="J69:N7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{EF8C8A4D-5A54-4615-9904-E78B186DA79B}</x14:id>
        </ext>
      </extLst>
    </cfRule>
    <cfRule type="colorScale" priority="4">
      <colorScale>
        <cfvo type="min"/>
        <cfvo type="max"/>
        <color rgb="FFFCFCFF"/>
        <color rgb="FF63BE7B"/>
      </colorScale>
    </cfRule>
    <cfRule type="top10" dxfId="0" priority="5" rank="5"/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2:N87">
    <cfRule type="colorScale" priority="3">
      <colorScale>
        <cfvo type="min"/>
        <cfvo type="max"/>
        <color rgb="FFFCFCFF"/>
        <color rgb="FF63BE7B"/>
      </colorScale>
    </cfRule>
  </conditionalFormatting>
  <conditionalFormatting sqref="K70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{C6143912-C57C-439F-874A-8DA1DB0556D8}</x14:id>
        </ext>
      </extLst>
    </cfRule>
  </conditionalFormatting>
  <conditionalFormatting sqref="Q69:T71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{1C4092DD-7F0E-4469-BBA3-0650B30A62AA}</x14:id>
        </ext>
      </extLst>
    </cfRule>
  </conditionalFormatting>
  <conditionalFormatting sqref="Q75:T80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{2A56D406-7169-438F-9B55-C03BDA56096C}</x14:id>
        </ext>
      </extLst>
    </cfRule>
  </conditionalFormatting>
  <conditionalFormatting sqref="Q81:U8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scale="44" orientation="landscape" r:id="rId1"/>
  <rowBreaks count="1" manualBreakCount="1">
    <brk id="41" max="1638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DAD4A-2835-47CE-950C-E233AB5615A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J69:M71</xm:sqref>
        </x14:conditionalFormatting>
        <x14:conditionalFormatting xmlns:xm="http://schemas.microsoft.com/office/excel/2006/main">
          <x14:cfRule type="dataBar" id="{18B213F1-C412-4936-9962-5AEDBE70914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J75:M77</xm:sqref>
        </x14:conditionalFormatting>
        <x14:conditionalFormatting xmlns:xm="http://schemas.microsoft.com/office/excel/2006/main">
          <x14:cfRule type="dataBar" id="{796A65E4-436A-4CD3-8F56-7D0542E7A91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J82:M87</xm:sqref>
        </x14:conditionalFormatting>
        <x14:conditionalFormatting xmlns:xm="http://schemas.microsoft.com/office/excel/2006/main">
          <x14:cfRule type="dataBar" id="{EF8C8A4D-5A54-4615-9904-E78B186DA7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J69:N71</xm:sqref>
        </x14:conditionalFormatting>
        <x14:conditionalFormatting xmlns:xm="http://schemas.microsoft.com/office/excel/2006/main">
          <x14:cfRule type="dataBar" id="{C6143912-C57C-439F-874A-8DA1DB0556D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K70</xm:sqref>
        </x14:conditionalFormatting>
        <x14:conditionalFormatting xmlns:xm="http://schemas.microsoft.com/office/excel/2006/main">
          <x14:cfRule type="dataBar" id="{1C4092DD-7F0E-4469-BBA3-0650B30A62A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Q69:T71</xm:sqref>
        </x14:conditionalFormatting>
        <x14:conditionalFormatting xmlns:xm="http://schemas.microsoft.com/office/excel/2006/main">
          <x14:cfRule type="dataBar" id="{2A56D406-7169-438F-9B55-C03BDA5609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Q75:T80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24 </vt:lpstr>
      <vt:lpstr>FEBRERO  calculo blce enero 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Sanquintin</dc:creator>
  <cp:keywords/>
  <dc:description/>
  <cp:lastModifiedBy>Carlos Sanquintin</cp:lastModifiedBy>
  <cp:revision/>
  <dcterms:created xsi:type="dcterms:W3CDTF">2024-01-30T17:37:55Z</dcterms:created>
  <dcterms:modified xsi:type="dcterms:W3CDTF">2024-03-12T14:12:51Z</dcterms:modified>
  <cp:category/>
  <cp:contentStatus/>
</cp:coreProperties>
</file>