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lvia Tortosa\Dropbox\PC (2)\Documents\Disponibilidad, presupuesto, ejecución y modificación\Presupuesto 2024\"/>
    </mc:Choice>
  </mc:AlternateContent>
  <xr:revisionPtr revIDLastSave="0" documentId="13_ncr:1_{3C94C874-7C4F-43E6-9CB5-ADE593E8C2C2}" xr6:coauthVersionLast="47" xr6:coauthVersionMax="47" xr10:uidLastSave="{00000000-0000-0000-0000-000000000000}"/>
  <bookViews>
    <workbookView xWindow="120" yWindow="150" windowWidth="13080" windowHeight="15405" tabRatio="853" firstSheet="1" activeTab="1" xr2:uid="{00000000-000D-0000-FFFF-FFFF00000000}"/>
  </bookViews>
  <sheets>
    <sheet name="Ejecución" sheetId="10" state="hidden" r:id="rId1"/>
    <sheet name="Plantilla Presupuesto original" sheetId="9" r:id="rId2"/>
    <sheet name="Plantilla Ejecución Nov. Dic" sheetId="8" state="hidden" r:id="rId3"/>
    <sheet name="Plantilla Presupuesto" sheetId="2" state="hidden" r:id="rId4"/>
    <sheet name="Plantilla Ejecución Octubre" sheetId="7" state="hidden" r:id="rId5"/>
    <sheet name="Plantilla Ejecución " sheetId="3" state="hidden" r:id="rId6"/>
    <sheet name="Ejecución 2021" sheetId="6" state="hidden" r:id="rId7"/>
    <sheet name="Hoja1" sheetId="4" r:id="rId8"/>
  </sheets>
  <definedNames>
    <definedName name="_xlnm._FilterDatabase" localSheetId="0" hidden="1">Ejecución!$A$16:$NR$239</definedName>
    <definedName name="_xlnm._FilterDatabase" localSheetId="6" hidden="1">'Ejecución 2021'!$A$15:$NR$233</definedName>
    <definedName name="_xlnm._FilterDatabase" localSheetId="2" hidden="1">'Plantilla Ejecución Nov. Dic'!$A$7:$AC$84</definedName>
    <definedName name="_xlnm.Print_Area" localSheetId="0">Ejecución!$C$17:$W$241</definedName>
    <definedName name="_xlnm.Print_Area" localSheetId="5">'Plantilla Ejecución '!$A$1:$O$107</definedName>
    <definedName name="_xlnm.Print_Area" localSheetId="2">'Plantilla Ejecución Nov. Dic'!$B$1:$P$107</definedName>
    <definedName name="_xlnm.Print_Area" localSheetId="4">'Plantilla Ejecución Octubre'!$A$1:$O$107</definedName>
    <definedName name="_xlnm.Print_Area" localSheetId="1">'Plantilla Presupuesto original'!$A$10:$C$116</definedName>
    <definedName name="_xlnm.Print_Titles" localSheetId="0">Ejecución!$6:$16</definedName>
    <definedName name="_xlnm.Print_Titles" localSheetId="2">'Plantilla Ejecución Nov. Dic'!$B:$C,'Plantilla Ejecución Nov. Dic'!$1:$7</definedName>
    <definedName name="_xlnm.Print_Titles" localSheetId="4">'Plantilla Ejecución Octubre'!$A:$B,'Plantilla Ejecución Octubre'!$1:$7</definedName>
    <definedName name="_xlnm.Print_Titles" localSheetId="1">'Plantilla Presupuesto original'!$1:$9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9" l="1"/>
  <c r="B53" i="9" l="1"/>
  <c r="B27" i="9"/>
  <c r="B17" i="9" l="1"/>
  <c r="B76" i="9" s="1"/>
  <c r="B11" i="9"/>
  <c r="V239" i="10"/>
  <c r="X236" i="10"/>
  <c r="V235" i="10"/>
  <c r="U234" i="10"/>
  <c r="U228" i="10"/>
  <c r="T234" i="10"/>
  <c r="S234" i="10"/>
  <c r="R234" i="10"/>
  <c r="Q234" i="10"/>
  <c r="Q228" i="10"/>
  <c r="P234" i="10"/>
  <c r="O234" i="10"/>
  <c r="N234" i="10"/>
  <c r="N228" i="10"/>
  <c r="M234" i="10"/>
  <c r="M228" i="10"/>
  <c r="L234" i="10"/>
  <c r="K234" i="10"/>
  <c r="J234" i="10"/>
  <c r="J228" i="10"/>
  <c r="I234" i="10"/>
  <c r="V233" i="10"/>
  <c r="V232" i="10"/>
  <c r="W232" i="10"/>
  <c r="X232" i="10"/>
  <c r="W231" i="10"/>
  <c r="V231" i="10"/>
  <c r="V230" i="10"/>
  <c r="W229" i="10"/>
  <c r="V229" i="10"/>
  <c r="X229" i="10"/>
  <c r="T228" i="10"/>
  <c r="S228" i="10"/>
  <c r="R228" i="10"/>
  <c r="P228" i="10"/>
  <c r="O228" i="10"/>
  <c r="L228" i="10"/>
  <c r="K228" i="10"/>
  <c r="W226" i="10"/>
  <c r="W225" i="10"/>
  <c r="V226" i="10"/>
  <c r="X226" i="10"/>
  <c r="U225" i="10"/>
  <c r="T225" i="10"/>
  <c r="S225" i="10"/>
  <c r="R225" i="10"/>
  <c r="Q225" i="10"/>
  <c r="P225" i="10"/>
  <c r="O225" i="10"/>
  <c r="N225" i="10"/>
  <c r="M225" i="10"/>
  <c r="L225" i="10"/>
  <c r="K225" i="10"/>
  <c r="J225" i="10"/>
  <c r="I225" i="10"/>
  <c r="W223" i="10"/>
  <c r="V223" i="10"/>
  <c r="V222" i="10"/>
  <c r="X221" i="10"/>
  <c r="W221" i="10"/>
  <c r="V221" i="10"/>
  <c r="U220" i="10"/>
  <c r="T220" i="10"/>
  <c r="S220" i="10"/>
  <c r="R220" i="10"/>
  <c r="Q220" i="10"/>
  <c r="P220" i="10"/>
  <c r="P208" i="10"/>
  <c r="O220" i="10"/>
  <c r="N220" i="10"/>
  <c r="M220" i="10"/>
  <c r="L220" i="10"/>
  <c r="L208" i="10"/>
  <c r="K220" i="10"/>
  <c r="J220" i="10"/>
  <c r="I220" i="10"/>
  <c r="X218" i="10"/>
  <c r="W218" i="10"/>
  <c r="W217" i="10"/>
  <c r="V218" i="10"/>
  <c r="V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W215" i="10"/>
  <c r="V215" i="10"/>
  <c r="V214" i="10"/>
  <c r="X213" i="10"/>
  <c r="W213" i="10"/>
  <c r="V213" i="10"/>
  <c r="X212" i="10"/>
  <c r="W212" i="10"/>
  <c r="V212" i="10"/>
  <c r="V211" i="10"/>
  <c r="U210" i="10"/>
  <c r="T210" i="10"/>
  <c r="S210" i="10"/>
  <c r="R210" i="10"/>
  <c r="Q210" i="10"/>
  <c r="P210" i="10"/>
  <c r="O210" i="10"/>
  <c r="N210" i="10"/>
  <c r="M210" i="10"/>
  <c r="L210" i="10"/>
  <c r="K210" i="10"/>
  <c r="J210" i="10"/>
  <c r="I210" i="10"/>
  <c r="V206" i="10"/>
  <c r="X205" i="10"/>
  <c r="W205" i="10"/>
  <c r="V205" i="10"/>
  <c r="U204" i="10"/>
  <c r="T204" i="10"/>
  <c r="S204" i="10"/>
  <c r="R204" i="10"/>
  <c r="Q204" i="10"/>
  <c r="P204" i="10"/>
  <c r="O204" i="10"/>
  <c r="N204" i="10"/>
  <c r="M204" i="10"/>
  <c r="L204" i="10"/>
  <c r="K204" i="10"/>
  <c r="J204" i="10"/>
  <c r="I204" i="10"/>
  <c r="V203" i="10"/>
  <c r="W203" i="10"/>
  <c r="X203" i="10"/>
  <c r="W202" i="10"/>
  <c r="V202" i="10"/>
  <c r="V201" i="10"/>
  <c r="U200" i="10"/>
  <c r="T200" i="10"/>
  <c r="S200" i="10"/>
  <c r="R200" i="10"/>
  <c r="Q200" i="10"/>
  <c r="P200" i="10"/>
  <c r="O200" i="10"/>
  <c r="O196" i="10"/>
  <c r="N200" i="10"/>
  <c r="M200" i="10"/>
  <c r="L200" i="10"/>
  <c r="K200" i="10"/>
  <c r="J200" i="10"/>
  <c r="I200" i="10"/>
  <c r="W199" i="10"/>
  <c r="X199" i="10"/>
  <c r="V199" i="10"/>
  <c r="V198" i="10"/>
  <c r="U197" i="10"/>
  <c r="T197" i="10"/>
  <c r="S197" i="10"/>
  <c r="R197" i="10"/>
  <c r="R196" i="10"/>
  <c r="Q197" i="10"/>
  <c r="P197" i="10"/>
  <c r="O197" i="10"/>
  <c r="N197" i="10"/>
  <c r="M197" i="10"/>
  <c r="L197" i="10"/>
  <c r="K197" i="10"/>
  <c r="J197" i="10"/>
  <c r="J196" i="10"/>
  <c r="I197" i="10"/>
  <c r="S196" i="10"/>
  <c r="N196" i="10"/>
  <c r="K196" i="10"/>
  <c r="X194" i="10"/>
  <c r="V192" i="10"/>
  <c r="X192" i="10"/>
  <c r="V191" i="10"/>
  <c r="V190" i="10"/>
  <c r="U189" i="10"/>
  <c r="U182" i="10"/>
  <c r="T189" i="10"/>
  <c r="T182" i="10"/>
  <c r="S189" i="10"/>
  <c r="R189" i="10"/>
  <c r="Q189" i="10"/>
  <c r="Q182" i="10"/>
  <c r="P189" i="10"/>
  <c r="P182" i="10"/>
  <c r="O189" i="10"/>
  <c r="N189" i="10"/>
  <c r="M189" i="10"/>
  <c r="M182" i="10"/>
  <c r="L189" i="10"/>
  <c r="L182" i="10"/>
  <c r="K189" i="10"/>
  <c r="J189" i="10"/>
  <c r="I189" i="10"/>
  <c r="I182" i="10"/>
  <c r="V188" i="10"/>
  <c r="W188" i="10"/>
  <c r="X188" i="10"/>
  <c r="V187" i="10"/>
  <c r="W187" i="10"/>
  <c r="X187" i="10"/>
  <c r="V186" i="10"/>
  <c r="V185" i="10"/>
  <c r="W184" i="10"/>
  <c r="X184" i="10"/>
  <c r="V184" i="10"/>
  <c r="V183" i="10"/>
  <c r="W183" i="10"/>
  <c r="S182" i="10"/>
  <c r="R182" i="10"/>
  <c r="O182" i="10"/>
  <c r="N182" i="10"/>
  <c r="K182" i="10"/>
  <c r="J182" i="10"/>
  <c r="V180" i="10"/>
  <c r="V179" i="10"/>
  <c r="X178" i="10"/>
  <c r="W178" i="10"/>
  <c r="V178" i="10"/>
  <c r="U177" i="10"/>
  <c r="T177" i="10"/>
  <c r="S177" i="10"/>
  <c r="R177" i="10"/>
  <c r="Q177" i="10"/>
  <c r="P177" i="10"/>
  <c r="O177" i="10"/>
  <c r="N177" i="10"/>
  <c r="M177" i="10"/>
  <c r="M171" i="10"/>
  <c r="L177" i="10"/>
  <c r="K177" i="10"/>
  <c r="J177" i="10"/>
  <c r="I177" i="10"/>
  <c r="W176" i="10"/>
  <c r="X176" i="10"/>
  <c r="V176" i="10"/>
  <c r="V175" i="10"/>
  <c r="V174" i="10"/>
  <c r="X173" i="10"/>
  <c r="W173" i="10"/>
  <c r="V173" i="10"/>
  <c r="U172" i="10"/>
  <c r="T172" i="10"/>
  <c r="T171" i="10"/>
  <c r="S172" i="10"/>
  <c r="R172" i="10"/>
  <c r="Q172" i="10"/>
  <c r="Q171" i="10"/>
  <c r="P172" i="10"/>
  <c r="P171" i="10"/>
  <c r="O172" i="10"/>
  <c r="N172" i="10"/>
  <c r="M172" i="10"/>
  <c r="L172" i="10"/>
  <c r="L171" i="10"/>
  <c r="K172" i="10"/>
  <c r="J172" i="10"/>
  <c r="I172" i="10"/>
  <c r="I171" i="10"/>
  <c r="U171" i="10"/>
  <c r="R171" i="10"/>
  <c r="N171" i="10"/>
  <c r="J171" i="10"/>
  <c r="V169" i="10"/>
  <c r="W169" i="10"/>
  <c r="X169" i="10"/>
  <c r="V168" i="10"/>
  <c r="V167" i="10"/>
  <c r="U166" i="10"/>
  <c r="T166" i="10"/>
  <c r="T165" i="10"/>
  <c r="T163" i="10"/>
  <c r="S166" i="10"/>
  <c r="S165" i="10"/>
  <c r="S163" i="10"/>
  <c r="R166" i="10"/>
  <c r="Q166" i="10"/>
  <c r="P166" i="10"/>
  <c r="P165" i="10"/>
  <c r="P163" i="10"/>
  <c r="O166" i="10"/>
  <c r="N166" i="10"/>
  <c r="M166" i="10"/>
  <c r="L166" i="10"/>
  <c r="L165" i="10"/>
  <c r="K166" i="10"/>
  <c r="J166" i="10"/>
  <c r="I166" i="10"/>
  <c r="I163" i="10"/>
  <c r="U165" i="10"/>
  <c r="U163" i="10"/>
  <c r="R165" i="10"/>
  <c r="Q165" i="10"/>
  <c r="Q163" i="10"/>
  <c r="O165" i="10"/>
  <c r="N165" i="10"/>
  <c r="N163" i="10"/>
  <c r="M165" i="10"/>
  <c r="M163" i="10"/>
  <c r="K165" i="10"/>
  <c r="J165" i="10"/>
  <c r="W164" i="10"/>
  <c r="V164" i="10"/>
  <c r="R163" i="10"/>
  <c r="O163" i="10"/>
  <c r="K163" i="10"/>
  <c r="J163" i="10"/>
  <c r="V161" i="10"/>
  <c r="V160" i="10"/>
  <c r="V159" i="10"/>
  <c r="W159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V156" i="10"/>
  <c r="W156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V153" i="10"/>
  <c r="V152" i="10"/>
  <c r="V151" i="10"/>
  <c r="W151" i="10"/>
  <c r="X151" i="10"/>
  <c r="V150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V147" i="10"/>
  <c r="V146" i="10"/>
  <c r="V145" i="10"/>
  <c r="W144" i="10"/>
  <c r="V144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V141" i="10"/>
  <c r="V140" i="10"/>
  <c r="U139" i="10"/>
  <c r="T139" i="10"/>
  <c r="T135" i="10"/>
  <c r="S139" i="10"/>
  <c r="R139" i="10"/>
  <c r="Q139" i="10"/>
  <c r="P139" i="10"/>
  <c r="P135" i="10"/>
  <c r="O139" i="10"/>
  <c r="N139" i="10"/>
  <c r="M139" i="10"/>
  <c r="L139" i="10"/>
  <c r="K139" i="10"/>
  <c r="J139" i="10"/>
  <c r="I139" i="10"/>
  <c r="W137" i="10"/>
  <c r="X137" i="10"/>
  <c r="V137" i="10"/>
  <c r="V136" i="10"/>
  <c r="U136" i="10"/>
  <c r="U135" i="10"/>
  <c r="U134" i="10"/>
  <c r="T136" i="10"/>
  <c r="S136" i="10"/>
  <c r="R136" i="10"/>
  <c r="Q136" i="10"/>
  <c r="P136" i="10"/>
  <c r="O136" i="10"/>
  <c r="N136" i="10"/>
  <c r="N135" i="10"/>
  <c r="M136" i="10"/>
  <c r="M135" i="10"/>
  <c r="M134" i="10"/>
  <c r="L136" i="10"/>
  <c r="K136" i="10"/>
  <c r="J136" i="10"/>
  <c r="J135" i="10"/>
  <c r="I136" i="10"/>
  <c r="R135" i="10"/>
  <c r="Q135" i="10"/>
  <c r="L135" i="10"/>
  <c r="W132" i="10"/>
  <c r="X132" i="10"/>
  <c r="V132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V129" i="10"/>
  <c r="W129" i="10"/>
  <c r="X129" i="10"/>
  <c r="V128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V126" i="10"/>
  <c r="I126" i="10"/>
  <c r="V125" i="10"/>
  <c r="W125" i="10"/>
  <c r="V124" i="10"/>
  <c r="W124" i="10"/>
  <c r="X124" i="10"/>
  <c r="V123" i="10"/>
  <c r="W123" i="10"/>
  <c r="X123" i="10"/>
  <c r="V122" i="10"/>
  <c r="I122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V120" i="10"/>
  <c r="W120" i="10"/>
  <c r="V119" i="10"/>
  <c r="U118" i="10"/>
  <c r="T118" i="10"/>
  <c r="S118" i="10"/>
  <c r="S111" i="10"/>
  <c r="R118" i="10"/>
  <c r="Q118" i="10"/>
  <c r="P118" i="10"/>
  <c r="O118" i="10"/>
  <c r="O111" i="10"/>
  <c r="N118" i="10"/>
  <c r="M118" i="10"/>
  <c r="L118" i="10"/>
  <c r="L111" i="10"/>
  <c r="K118" i="10"/>
  <c r="K111" i="10"/>
  <c r="J118" i="10"/>
  <c r="I118" i="10"/>
  <c r="V117" i="10"/>
  <c r="W117" i="10"/>
  <c r="X117" i="10"/>
  <c r="V116" i="10"/>
  <c r="V115" i="10"/>
  <c r="U114" i="10"/>
  <c r="T114" i="10"/>
  <c r="S114" i="10"/>
  <c r="R114" i="10"/>
  <c r="R111" i="10"/>
  <c r="Q114" i="10"/>
  <c r="P114" i="10"/>
  <c r="O114" i="10"/>
  <c r="N114" i="10"/>
  <c r="N111" i="10"/>
  <c r="M114" i="10"/>
  <c r="L114" i="10"/>
  <c r="K114" i="10"/>
  <c r="J114" i="10"/>
  <c r="I114" i="10"/>
  <c r="V113" i="10"/>
  <c r="W113" i="10"/>
  <c r="V112" i="10"/>
  <c r="W112" i="10"/>
  <c r="V110" i="10"/>
  <c r="W110" i="10"/>
  <c r="X110" i="10"/>
  <c r="V109" i="10"/>
  <c r="V108" i="10"/>
  <c r="W108" i="10"/>
  <c r="V107" i="10"/>
  <c r="V106" i="10"/>
  <c r="U106" i="10"/>
  <c r="T106" i="10"/>
  <c r="T98" i="10"/>
  <c r="S106" i="10"/>
  <c r="R106" i="10"/>
  <c r="Q106" i="10"/>
  <c r="P106" i="10"/>
  <c r="P98" i="10"/>
  <c r="O106" i="10"/>
  <c r="O98" i="10"/>
  <c r="N106" i="10"/>
  <c r="M106" i="10"/>
  <c r="L106" i="10"/>
  <c r="L98" i="10"/>
  <c r="K106" i="10"/>
  <c r="J106" i="10"/>
  <c r="I106" i="10"/>
  <c r="V104" i="10"/>
  <c r="W103" i="10"/>
  <c r="V103" i="10"/>
  <c r="V102" i="10"/>
  <c r="W102" i="10"/>
  <c r="W101" i="10"/>
  <c r="X101" i="10"/>
  <c r="V101" i="10"/>
  <c r="V100" i="10"/>
  <c r="W100" i="10"/>
  <c r="V99" i="10"/>
  <c r="U99" i="10"/>
  <c r="U98" i="10"/>
  <c r="T99" i="10"/>
  <c r="S99" i="10"/>
  <c r="S98" i="10"/>
  <c r="R99" i="10"/>
  <c r="R98" i="10"/>
  <c r="Q99" i="10"/>
  <c r="Q98" i="10"/>
  <c r="P99" i="10"/>
  <c r="O99" i="10"/>
  <c r="N99" i="10"/>
  <c r="M99" i="10"/>
  <c r="M98" i="10"/>
  <c r="L99" i="10"/>
  <c r="K99" i="10"/>
  <c r="K98" i="10"/>
  <c r="J99" i="10"/>
  <c r="J98" i="10"/>
  <c r="I99" i="10"/>
  <c r="N98" i="10"/>
  <c r="V96" i="10"/>
  <c r="V95" i="10"/>
  <c r="V94" i="10"/>
  <c r="W94" i="10"/>
  <c r="X94" i="10"/>
  <c r="V93" i="10"/>
  <c r="W93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V90" i="10"/>
  <c r="V89" i="10"/>
  <c r="W89" i="10"/>
  <c r="W88" i="10"/>
  <c r="X88" i="10"/>
  <c r="V87" i="10"/>
  <c r="W87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V84" i="10"/>
  <c r="W84" i="10"/>
  <c r="W83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V80" i="10"/>
  <c r="W80" i="10"/>
  <c r="V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V76" i="10"/>
  <c r="W76" i="10"/>
  <c r="V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V72" i="10"/>
  <c r="W72" i="10"/>
  <c r="X72" i="10"/>
  <c r="V71" i="10"/>
  <c r="W71" i="10"/>
  <c r="X71" i="10"/>
  <c r="V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V68" i="10"/>
  <c r="V67" i="10"/>
  <c r="W67" i="10"/>
  <c r="W66" i="10"/>
  <c r="X66" i="10"/>
  <c r="V66" i="10"/>
  <c r="V65" i="10"/>
  <c r="W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V60" i="10"/>
  <c r="W60" i="10"/>
  <c r="V59" i="10"/>
  <c r="W59" i="10"/>
  <c r="X59" i="10"/>
  <c r="V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V55" i="10"/>
  <c r="V54" i="10"/>
  <c r="U54" i="10"/>
  <c r="U52" i="10"/>
  <c r="T54" i="10"/>
  <c r="T52" i="10"/>
  <c r="S54" i="10"/>
  <c r="R54" i="10"/>
  <c r="R52" i="10"/>
  <c r="Q54" i="10"/>
  <c r="P54" i="10"/>
  <c r="P52" i="10"/>
  <c r="O54" i="10"/>
  <c r="O52" i="10"/>
  <c r="N54" i="10"/>
  <c r="N52" i="10"/>
  <c r="M54" i="10"/>
  <c r="M52" i="10"/>
  <c r="L54" i="10"/>
  <c r="K54" i="10"/>
  <c r="K52" i="10"/>
  <c r="J54" i="10"/>
  <c r="J52" i="10"/>
  <c r="I54" i="10"/>
  <c r="V53" i="10"/>
  <c r="S52" i="10"/>
  <c r="Q52" i="10"/>
  <c r="L52" i="10"/>
  <c r="V50" i="10"/>
  <c r="W50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V48" i="10"/>
  <c r="V47" i="10"/>
  <c r="V46" i="10"/>
  <c r="V45" i="10"/>
  <c r="U46" i="10"/>
  <c r="T46" i="10"/>
  <c r="S46" i="10"/>
  <c r="R46" i="10"/>
  <c r="R45" i="10"/>
  <c r="Q46" i="10"/>
  <c r="P46" i="10"/>
  <c r="O46" i="10"/>
  <c r="N46" i="10"/>
  <c r="N45" i="10"/>
  <c r="M46" i="10"/>
  <c r="L46" i="10"/>
  <c r="K46" i="10"/>
  <c r="J46" i="10"/>
  <c r="J45" i="10"/>
  <c r="I46" i="10"/>
  <c r="U45" i="10"/>
  <c r="T45" i="10"/>
  <c r="Q45" i="10"/>
  <c r="P45" i="10"/>
  <c r="M45" i="10"/>
  <c r="L45" i="10"/>
  <c r="K45" i="10"/>
  <c r="I45" i="10"/>
  <c r="V44" i="10"/>
  <c r="V43" i="10"/>
  <c r="W43" i="10"/>
  <c r="X43" i="10"/>
  <c r="W42" i="10"/>
  <c r="X42" i="10"/>
  <c r="V42" i="10"/>
  <c r="V41" i="10"/>
  <c r="V40" i="10"/>
  <c r="V39" i="10"/>
  <c r="W38" i="10"/>
  <c r="V38" i="10"/>
  <c r="T37" i="10"/>
  <c r="T36" i="10"/>
  <c r="S37" i="10"/>
  <c r="S36" i="10"/>
  <c r="R37" i="10"/>
  <c r="Q37" i="10"/>
  <c r="P37" i="10"/>
  <c r="P36" i="10"/>
  <c r="O37" i="10"/>
  <c r="O36" i="10"/>
  <c r="N37" i="10"/>
  <c r="M37" i="10"/>
  <c r="L37" i="10"/>
  <c r="L36" i="10"/>
  <c r="K37" i="10"/>
  <c r="K36" i="10"/>
  <c r="J37" i="10"/>
  <c r="I37" i="10"/>
  <c r="U36" i="10"/>
  <c r="R36" i="10"/>
  <c r="Q36" i="10"/>
  <c r="N36" i="10"/>
  <c r="M36" i="10"/>
  <c r="J36" i="10"/>
  <c r="I36" i="10"/>
  <c r="V35" i="10"/>
  <c r="V34" i="10"/>
  <c r="W34" i="10"/>
  <c r="X34" i="10"/>
  <c r="V33" i="10"/>
  <c r="W33" i="10"/>
  <c r="X33" i="10"/>
  <c r="V32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V30" i="10"/>
  <c r="V29" i="10"/>
  <c r="W29" i="10"/>
  <c r="X29" i="10"/>
  <c r="W28" i="10"/>
  <c r="X28" i="10"/>
  <c r="V28" i="10"/>
  <c r="V27" i="10"/>
  <c r="W27" i="10"/>
  <c r="V26" i="10"/>
  <c r="V25" i="10"/>
  <c r="W25" i="10"/>
  <c r="X25" i="10"/>
  <c r="V24" i="10"/>
  <c r="W24" i="10"/>
  <c r="X24" i="10"/>
  <c r="V23" i="10"/>
  <c r="U22" i="10"/>
  <c r="T22" i="10"/>
  <c r="T19" i="10"/>
  <c r="S22" i="10"/>
  <c r="R22" i="10"/>
  <c r="Q22" i="10"/>
  <c r="P22" i="10"/>
  <c r="O22" i="10"/>
  <c r="N22" i="10"/>
  <c r="M22" i="10"/>
  <c r="L22" i="10"/>
  <c r="L19" i="10"/>
  <c r="K22" i="10"/>
  <c r="J22" i="10"/>
  <c r="I22" i="10"/>
  <c r="V21" i="10"/>
  <c r="W21" i="10"/>
  <c r="W20" i="10"/>
  <c r="U20" i="10"/>
  <c r="U19" i="10"/>
  <c r="T20" i="10"/>
  <c r="S20" i="10"/>
  <c r="R20" i="10"/>
  <c r="Q20" i="10"/>
  <c r="Q19" i="10"/>
  <c r="Q17" i="10"/>
  <c r="P20" i="10"/>
  <c r="O20" i="10"/>
  <c r="N20" i="10"/>
  <c r="M20" i="10"/>
  <c r="M19" i="10"/>
  <c r="L20" i="10"/>
  <c r="K20" i="10"/>
  <c r="J20" i="10"/>
  <c r="I20" i="10"/>
  <c r="I19" i="10"/>
  <c r="P19" i="10"/>
  <c r="U18" i="10"/>
  <c r="T18" i="10"/>
  <c r="S18" i="10"/>
  <c r="R18" i="10"/>
  <c r="Q18" i="10"/>
  <c r="P18" i="10"/>
  <c r="O15" i="8"/>
  <c r="O17" i="8"/>
  <c r="O18" i="8"/>
  <c r="O19" i="8"/>
  <c r="O20" i="8"/>
  <c r="O21" i="8"/>
  <c r="O22" i="8"/>
  <c r="O23" i="8"/>
  <c r="O24" i="8"/>
  <c r="U36" i="6"/>
  <c r="U35" i="6"/>
  <c r="O11" i="8"/>
  <c r="U30" i="6"/>
  <c r="U21" i="6"/>
  <c r="U19" i="6"/>
  <c r="U202" i="6"/>
  <c r="U133" i="6"/>
  <c r="U61" i="6"/>
  <c r="U235" i="6"/>
  <c r="O34" i="8"/>
  <c r="O14" i="8"/>
  <c r="O60" i="8"/>
  <c r="V229" i="6"/>
  <c r="W229" i="6"/>
  <c r="W228" i="6"/>
  <c r="T228" i="6"/>
  <c r="T222" i="6"/>
  <c r="N59" i="8"/>
  <c r="S228" i="6"/>
  <c r="S222" i="6"/>
  <c r="M59" i="8"/>
  <c r="R228" i="6"/>
  <c r="R222" i="6"/>
  <c r="L59" i="8"/>
  <c r="Q228" i="6"/>
  <c r="Q222" i="6"/>
  <c r="K59" i="8"/>
  <c r="P228" i="6"/>
  <c r="P222" i="6"/>
  <c r="O228" i="6"/>
  <c r="O222" i="6"/>
  <c r="N228" i="6"/>
  <c r="N222" i="6"/>
  <c r="M228" i="6"/>
  <c r="M222" i="6"/>
  <c r="L228" i="6"/>
  <c r="L222" i="6"/>
  <c r="K228" i="6"/>
  <c r="K222" i="6"/>
  <c r="J228" i="6"/>
  <c r="J222" i="6"/>
  <c r="I228" i="6"/>
  <c r="I222" i="6"/>
  <c r="V227" i="6"/>
  <c r="W227" i="6"/>
  <c r="V226" i="6"/>
  <c r="W226" i="6"/>
  <c r="V225" i="6"/>
  <c r="W223" i="6"/>
  <c r="V223" i="6"/>
  <c r="P60" i="8"/>
  <c r="V220" i="6"/>
  <c r="V219" i="6"/>
  <c r="O57" i="8"/>
  <c r="T219" i="6"/>
  <c r="N57" i="8"/>
  <c r="S219" i="6"/>
  <c r="M57" i="8"/>
  <c r="R219" i="6"/>
  <c r="L57" i="8"/>
  <c r="Q219" i="6"/>
  <c r="K57" i="8"/>
  <c r="P219" i="6"/>
  <c r="O219" i="6"/>
  <c r="N219" i="6"/>
  <c r="M219" i="6"/>
  <c r="L219" i="6"/>
  <c r="K219" i="6"/>
  <c r="J219" i="6"/>
  <c r="I219" i="6"/>
  <c r="V217" i="6"/>
  <c r="W217" i="6"/>
  <c r="V216" i="6"/>
  <c r="W216" i="6"/>
  <c r="V215" i="6"/>
  <c r="W215" i="6"/>
  <c r="O56" i="8"/>
  <c r="T214" i="6"/>
  <c r="N56" i="8"/>
  <c r="S214" i="6"/>
  <c r="M56" i="8"/>
  <c r="R214" i="6"/>
  <c r="L56" i="8"/>
  <c r="Q214" i="6"/>
  <c r="K56" i="8"/>
  <c r="P214" i="6"/>
  <c r="O214" i="6"/>
  <c r="N214" i="6"/>
  <c r="M214" i="6"/>
  <c r="L214" i="6"/>
  <c r="K214" i="6"/>
  <c r="J214" i="6"/>
  <c r="I214" i="6"/>
  <c r="V212" i="6"/>
  <c r="W212" i="6"/>
  <c r="W211" i="6"/>
  <c r="O53" i="8"/>
  <c r="T211" i="6"/>
  <c r="N53" i="8"/>
  <c r="S211" i="6"/>
  <c r="M53" i="8"/>
  <c r="R211" i="6"/>
  <c r="L53" i="8"/>
  <c r="Q211" i="6"/>
  <c r="K53" i="8"/>
  <c r="P211" i="6"/>
  <c r="O211" i="6"/>
  <c r="N211" i="6"/>
  <c r="M211" i="6"/>
  <c r="L211" i="6"/>
  <c r="K211" i="6"/>
  <c r="J211" i="6"/>
  <c r="I211" i="6"/>
  <c r="V209" i="6"/>
  <c r="W209" i="6"/>
  <c r="V208" i="6"/>
  <c r="W208" i="6"/>
  <c r="V207" i="6"/>
  <c r="W207" i="6"/>
  <c r="V206" i="6"/>
  <c r="W206" i="6"/>
  <c r="V205" i="6"/>
  <c r="O52" i="8"/>
  <c r="T204" i="6"/>
  <c r="N52" i="8"/>
  <c r="S204" i="6"/>
  <c r="M52" i="8"/>
  <c r="R204" i="6"/>
  <c r="L52" i="8"/>
  <c r="Q204" i="6"/>
  <c r="K52" i="8"/>
  <c r="P204" i="6"/>
  <c r="O204" i="6"/>
  <c r="N204" i="6"/>
  <c r="M204" i="6"/>
  <c r="L204" i="6"/>
  <c r="K204" i="6"/>
  <c r="J204" i="6"/>
  <c r="I204" i="6"/>
  <c r="V200" i="6"/>
  <c r="W200" i="6"/>
  <c r="V199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V197" i="6"/>
  <c r="W197" i="6"/>
  <c r="V196" i="6"/>
  <c r="W196" i="6"/>
  <c r="V195" i="6"/>
  <c r="W195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V193" i="6"/>
  <c r="W193" i="6"/>
  <c r="V192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V186" i="6"/>
  <c r="V185" i="6"/>
  <c r="W185" i="6"/>
  <c r="V184" i="6"/>
  <c r="T183" i="6"/>
  <c r="T176" i="6"/>
  <c r="N34" i="8"/>
  <c r="S183" i="6"/>
  <c r="S176" i="6"/>
  <c r="M34" i="8"/>
  <c r="R183" i="6"/>
  <c r="Q183" i="6"/>
  <c r="Q176" i="6"/>
  <c r="K34" i="8"/>
  <c r="P183" i="6"/>
  <c r="P176" i="6"/>
  <c r="O183" i="6"/>
  <c r="O176" i="6"/>
  <c r="N183" i="6"/>
  <c r="N176" i="6"/>
  <c r="M183" i="6"/>
  <c r="M176" i="6"/>
  <c r="L183" i="6"/>
  <c r="L176" i="6"/>
  <c r="K183" i="6"/>
  <c r="K176" i="6"/>
  <c r="J183" i="6"/>
  <c r="J176" i="6"/>
  <c r="I183" i="6"/>
  <c r="I176" i="6"/>
  <c r="V182" i="6"/>
  <c r="W182" i="6"/>
  <c r="V181" i="6"/>
  <c r="W181" i="6"/>
  <c r="V180" i="6"/>
  <c r="W180" i="6"/>
  <c r="V179" i="6"/>
  <c r="W179" i="6"/>
  <c r="V178" i="6"/>
  <c r="W178" i="6"/>
  <c r="V177" i="6"/>
  <c r="W177" i="6"/>
  <c r="R176" i="6"/>
  <c r="L34" i="8"/>
  <c r="V174" i="6"/>
  <c r="W174" i="6"/>
  <c r="V173" i="6"/>
  <c r="W173" i="6"/>
  <c r="V172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V170" i="6"/>
  <c r="W170" i="6"/>
  <c r="V169" i="6"/>
  <c r="W169" i="6"/>
  <c r="V168" i="6"/>
  <c r="V167" i="6"/>
  <c r="W167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V164" i="6"/>
  <c r="W164" i="6"/>
  <c r="V163" i="6"/>
  <c r="O31" i="8"/>
  <c r="T162" i="6"/>
  <c r="N31" i="8"/>
  <c r="S162" i="6"/>
  <c r="M31" i="8"/>
  <c r="R162" i="6"/>
  <c r="Q162" i="6"/>
  <c r="K31" i="8"/>
  <c r="P162" i="6"/>
  <c r="O162" i="6"/>
  <c r="N162" i="6"/>
  <c r="M162" i="6"/>
  <c r="L162" i="6"/>
  <c r="K162" i="6"/>
  <c r="J162" i="6"/>
  <c r="I162" i="6"/>
  <c r="V160" i="6"/>
  <c r="W160" i="6"/>
  <c r="V159" i="6"/>
  <c r="W159" i="6"/>
  <c r="V158" i="6"/>
  <c r="W158" i="6"/>
  <c r="O30" i="8"/>
  <c r="T157" i="6"/>
  <c r="N30" i="8"/>
  <c r="S157" i="6"/>
  <c r="M30" i="8"/>
  <c r="R157" i="6"/>
  <c r="L30" i="8"/>
  <c r="Q157" i="6"/>
  <c r="K30" i="8"/>
  <c r="P157" i="6"/>
  <c r="O157" i="6"/>
  <c r="N157" i="6"/>
  <c r="M157" i="6"/>
  <c r="L157" i="6"/>
  <c r="K157" i="6"/>
  <c r="J157" i="6"/>
  <c r="I157" i="6"/>
  <c r="V155" i="6"/>
  <c r="W155" i="6"/>
  <c r="W154" i="6"/>
  <c r="O29" i="8"/>
  <c r="T154" i="6"/>
  <c r="N29" i="8"/>
  <c r="S154" i="6"/>
  <c r="M29" i="8"/>
  <c r="R154" i="6"/>
  <c r="L29" i="8"/>
  <c r="Q154" i="6"/>
  <c r="K29" i="8"/>
  <c r="P154" i="6"/>
  <c r="O154" i="6"/>
  <c r="N154" i="6"/>
  <c r="M154" i="6"/>
  <c r="L154" i="6"/>
  <c r="K154" i="6"/>
  <c r="J154" i="6"/>
  <c r="I154" i="6"/>
  <c r="V152" i="6"/>
  <c r="W152" i="6"/>
  <c r="V151" i="6"/>
  <c r="W151" i="6"/>
  <c r="V150" i="6"/>
  <c r="W150" i="6"/>
  <c r="V149" i="6"/>
  <c r="W149" i="6"/>
  <c r="O28" i="8"/>
  <c r="T148" i="6"/>
  <c r="N28" i="8"/>
  <c r="S148" i="6"/>
  <c r="M28" i="8"/>
  <c r="R148" i="6"/>
  <c r="Q148" i="6"/>
  <c r="K28" i="8"/>
  <c r="P148" i="6"/>
  <c r="O148" i="6"/>
  <c r="N148" i="6"/>
  <c r="M148" i="6"/>
  <c r="L148" i="6"/>
  <c r="K148" i="6"/>
  <c r="J148" i="6"/>
  <c r="I148" i="6"/>
  <c r="V146" i="6"/>
  <c r="W146" i="6"/>
  <c r="V145" i="6"/>
  <c r="W145" i="6"/>
  <c r="V144" i="6"/>
  <c r="W144" i="6"/>
  <c r="V143" i="6"/>
  <c r="O27" i="8"/>
  <c r="T142" i="6"/>
  <c r="N27" i="8"/>
  <c r="S142" i="6"/>
  <c r="M27" i="8"/>
  <c r="R142" i="6"/>
  <c r="L27" i="8"/>
  <c r="Q142" i="6"/>
  <c r="K27" i="8"/>
  <c r="P142" i="6"/>
  <c r="O142" i="6"/>
  <c r="N142" i="6"/>
  <c r="M142" i="6"/>
  <c r="L142" i="6"/>
  <c r="K142" i="6"/>
  <c r="J142" i="6"/>
  <c r="I142" i="6"/>
  <c r="V140" i="6"/>
  <c r="W140" i="6"/>
  <c r="V139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V136" i="6"/>
  <c r="V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V131" i="6"/>
  <c r="W131" i="6"/>
  <c r="W130" i="6"/>
  <c r="T130" i="6"/>
  <c r="N24" i="8"/>
  <c r="S130" i="6"/>
  <c r="M24" i="8"/>
  <c r="R130" i="6"/>
  <c r="L24" i="8"/>
  <c r="Q130" i="6"/>
  <c r="K24" i="8"/>
  <c r="P130" i="6"/>
  <c r="O130" i="6"/>
  <c r="N130" i="6"/>
  <c r="M130" i="6"/>
  <c r="L130" i="6"/>
  <c r="K130" i="6"/>
  <c r="J130" i="6"/>
  <c r="I130" i="6"/>
  <c r="V128" i="6"/>
  <c r="W128" i="6"/>
  <c r="V127" i="6"/>
  <c r="W127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V125" i="6"/>
  <c r="W125" i="6"/>
  <c r="T124" i="6"/>
  <c r="V124" i="6"/>
  <c r="W124" i="6"/>
  <c r="V123" i="6"/>
  <c r="W123" i="6"/>
  <c r="V122" i="6"/>
  <c r="W122" i="6"/>
  <c r="V121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V119" i="6"/>
  <c r="W119" i="6"/>
  <c r="V118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V116" i="6"/>
  <c r="W116" i="6"/>
  <c r="V115" i="6"/>
  <c r="W115" i="6"/>
  <c r="V114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V112" i="6"/>
  <c r="W112" i="6"/>
  <c r="V111" i="6"/>
  <c r="V109" i="6"/>
  <c r="W109" i="6"/>
  <c r="V108" i="6"/>
  <c r="W108" i="6"/>
  <c r="V107" i="6"/>
  <c r="W107" i="6"/>
  <c r="V106" i="6"/>
  <c r="W106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V103" i="6"/>
  <c r="W103" i="6"/>
  <c r="V102" i="6"/>
  <c r="W102" i="6"/>
  <c r="V101" i="6"/>
  <c r="W101" i="6"/>
  <c r="V100" i="6"/>
  <c r="W100" i="6"/>
  <c r="V99" i="6"/>
  <c r="T98" i="6"/>
  <c r="S98" i="6"/>
  <c r="R98" i="6"/>
  <c r="Q98" i="6"/>
  <c r="P98" i="6"/>
  <c r="O98" i="6"/>
  <c r="N98" i="6"/>
  <c r="M98" i="6"/>
  <c r="L98" i="6"/>
  <c r="K98" i="6"/>
  <c r="J98" i="6"/>
  <c r="I98" i="6"/>
  <c r="V95" i="6"/>
  <c r="W95" i="6"/>
  <c r="V94" i="6"/>
  <c r="W94" i="6"/>
  <c r="V93" i="6"/>
  <c r="W93" i="6"/>
  <c r="V92" i="6"/>
  <c r="W92" i="6"/>
  <c r="T91" i="6"/>
  <c r="N21" i="8"/>
  <c r="S91" i="6"/>
  <c r="M21" i="8"/>
  <c r="R91" i="6"/>
  <c r="L21" i="8"/>
  <c r="Q91" i="6"/>
  <c r="K21" i="8"/>
  <c r="P91" i="6"/>
  <c r="O91" i="6"/>
  <c r="N91" i="6"/>
  <c r="M91" i="6"/>
  <c r="L91" i="6"/>
  <c r="K91" i="6"/>
  <c r="J91" i="6"/>
  <c r="I91" i="6"/>
  <c r="V89" i="6"/>
  <c r="W89" i="6"/>
  <c r="V88" i="6"/>
  <c r="W88" i="6"/>
  <c r="V87" i="6"/>
  <c r="W87" i="6"/>
  <c r="V86" i="6"/>
  <c r="W86" i="6"/>
  <c r="T85" i="6"/>
  <c r="N20" i="8"/>
  <c r="S85" i="6"/>
  <c r="M20" i="8"/>
  <c r="R85" i="6"/>
  <c r="L20" i="8"/>
  <c r="Q85" i="6"/>
  <c r="K20" i="8"/>
  <c r="P85" i="6"/>
  <c r="O85" i="6"/>
  <c r="N85" i="6"/>
  <c r="M85" i="6"/>
  <c r="L85" i="6"/>
  <c r="K85" i="6"/>
  <c r="J85" i="6"/>
  <c r="I85" i="6"/>
  <c r="V83" i="6"/>
  <c r="W83" i="6"/>
  <c r="V82" i="6"/>
  <c r="T81" i="6"/>
  <c r="N19" i="8"/>
  <c r="S81" i="6"/>
  <c r="M19" i="8"/>
  <c r="R81" i="6"/>
  <c r="L19" i="8"/>
  <c r="Q81" i="6"/>
  <c r="K19" i="8"/>
  <c r="P81" i="6"/>
  <c r="O81" i="6"/>
  <c r="N81" i="6"/>
  <c r="M81" i="6"/>
  <c r="L81" i="6"/>
  <c r="K81" i="6"/>
  <c r="J81" i="6"/>
  <c r="I81" i="6"/>
  <c r="V79" i="6"/>
  <c r="W79" i="6"/>
  <c r="V78" i="6"/>
  <c r="W78" i="6"/>
  <c r="T77" i="6"/>
  <c r="N18" i="8"/>
  <c r="S77" i="6"/>
  <c r="M18" i="8"/>
  <c r="R77" i="6"/>
  <c r="L18" i="8"/>
  <c r="Q77" i="6"/>
  <c r="K18" i="8"/>
  <c r="P77" i="6"/>
  <c r="O77" i="6"/>
  <c r="N77" i="6"/>
  <c r="M77" i="6"/>
  <c r="L77" i="6"/>
  <c r="K77" i="6"/>
  <c r="J77" i="6"/>
  <c r="I77" i="6"/>
  <c r="V75" i="6"/>
  <c r="W75" i="6"/>
  <c r="V74" i="6"/>
  <c r="W74" i="6"/>
  <c r="T73" i="6"/>
  <c r="N17" i="8"/>
  <c r="S73" i="6"/>
  <c r="M17" i="8"/>
  <c r="R73" i="6"/>
  <c r="L17" i="8"/>
  <c r="Q73" i="6"/>
  <c r="K17" i="8"/>
  <c r="P73" i="6"/>
  <c r="O73" i="6"/>
  <c r="N73" i="6"/>
  <c r="M73" i="6"/>
  <c r="L73" i="6"/>
  <c r="K73" i="6"/>
  <c r="J73" i="6"/>
  <c r="I73" i="6"/>
  <c r="V71" i="6"/>
  <c r="W71" i="6"/>
  <c r="V70" i="6"/>
  <c r="W70" i="6"/>
  <c r="V69" i="6"/>
  <c r="W69" i="6"/>
  <c r="W68" i="6"/>
  <c r="O16" i="8"/>
  <c r="T68" i="6"/>
  <c r="T63" i="6"/>
  <c r="N16" i="8"/>
  <c r="S68" i="6"/>
  <c r="S63" i="6"/>
  <c r="R68" i="6"/>
  <c r="R63" i="6"/>
  <c r="Q68" i="6"/>
  <c r="Q63" i="6"/>
  <c r="K16" i="8"/>
  <c r="P68" i="6"/>
  <c r="P63" i="6"/>
  <c r="O68" i="6"/>
  <c r="O63" i="6"/>
  <c r="N68" i="6"/>
  <c r="N63" i="6"/>
  <c r="M68" i="6"/>
  <c r="M63" i="6"/>
  <c r="L68" i="6"/>
  <c r="L63" i="6"/>
  <c r="K68" i="6"/>
  <c r="K63" i="6"/>
  <c r="J68" i="6"/>
  <c r="J63" i="6"/>
  <c r="I68" i="6"/>
  <c r="I63" i="6"/>
  <c r="V67" i="6"/>
  <c r="W67" i="6"/>
  <c r="V66" i="6"/>
  <c r="W66" i="6"/>
  <c r="V65" i="6"/>
  <c r="W65" i="6"/>
  <c r="V64" i="6"/>
  <c r="W64" i="6"/>
  <c r="V59" i="6"/>
  <c r="W59" i="6"/>
  <c r="T59" i="6"/>
  <c r="V58" i="6"/>
  <c r="W58" i="6"/>
  <c r="T58" i="6"/>
  <c r="T57" i="6"/>
  <c r="V57" i="6"/>
  <c r="S56" i="6"/>
  <c r="M14" i="8"/>
  <c r="R56" i="6"/>
  <c r="L14" i="8"/>
  <c r="Q56" i="6"/>
  <c r="P56" i="6"/>
  <c r="O56" i="6"/>
  <c r="N56" i="6"/>
  <c r="M56" i="6"/>
  <c r="L56" i="6"/>
  <c r="K56" i="6"/>
  <c r="J56" i="6"/>
  <c r="I56" i="6"/>
  <c r="V54" i="6"/>
  <c r="W54" i="6"/>
  <c r="W53" i="6"/>
  <c r="O13" i="8"/>
  <c r="T53" i="6"/>
  <c r="T51" i="6"/>
  <c r="N13" i="8"/>
  <c r="S53" i="6"/>
  <c r="R53" i="6"/>
  <c r="R51" i="6"/>
  <c r="L13" i="8"/>
  <c r="Q53" i="6"/>
  <c r="Q51" i="6"/>
  <c r="K13" i="8"/>
  <c r="P53" i="6"/>
  <c r="P51" i="6"/>
  <c r="O53" i="6"/>
  <c r="O51" i="6"/>
  <c r="N53" i="6"/>
  <c r="N51" i="6"/>
  <c r="M53" i="6"/>
  <c r="M51" i="6"/>
  <c r="L53" i="6"/>
  <c r="L51" i="6"/>
  <c r="K53" i="6"/>
  <c r="K51" i="6"/>
  <c r="J53" i="6"/>
  <c r="J51" i="6"/>
  <c r="I53" i="6"/>
  <c r="I51" i="6"/>
  <c r="V52" i="6"/>
  <c r="S51" i="6"/>
  <c r="M13" i="8"/>
  <c r="V49" i="6"/>
  <c r="T48" i="6"/>
  <c r="S48" i="6"/>
  <c r="R48" i="6"/>
  <c r="Q48" i="6"/>
  <c r="P48" i="6"/>
  <c r="O48" i="6"/>
  <c r="N48" i="6"/>
  <c r="M48" i="6"/>
  <c r="L48" i="6"/>
  <c r="K48" i="6"/>
  <c r="J48" i="6"/>
  <c r="I48" i="6"/>
  <c r="V47" i="6"/>
  <c r="W47" i="6"/>
  <c r="V46" i="6"/>
  <c r="T45" i="6"/>
  <c r="S45" i="6"/>
  <c r="R45" i="6"/>
  <c r="Q45" i="6"/>
  <c r="P45" i="6"/>
  <c r="O45" i="6"/>
  <c r="N45" i="6"/>
  <c r="M45" i="6"/>
  <c r="L45" i="6"/>
  <c r="K45" i="6"/>
  <c r="J45" i="6"/>
  <c r="I45" i="6"/>
  <c r="V43" i="6"/>
  <c r="V42" i="6"/>
  <c r="W42" i="6"/>
  <c r="T42" i="6"/>
  <c r="V41" i="6"/>
  <c r="W41" i="6"/>
  <c r="V40" i="6"/>
  <c r="W40" i="6"/>
  <c r="V39" i="6"/>
  <c r="W39" i="6"/>
  <c r="V38" i="6"/>
  <c r="W38" i="6"/>
  <c r="V37" i="6"/>
  <c r="T36" i="6"/>
  <c r="T35" i="6"/>
  <c r="N11" i="8"/>
  <c r="S36" i="6"/>
  <c r="S35" i="6"/>
  <c r="M11" i="8"/>
  <c r="R36" i="6"/>
  <c r="R35" i="6"/>
  <c r="L11" i="8"/>
  <c r="Q36" i="6"/>
  <c r="Q35" i="6"/>
  <c r="K11" i="8"/>
  <c r="P36" i="6"/>
  <c r="P35" i="6"/>
  <c r="O36" i="6"/>
  <c r="O35" i="6"/>
  <c r="N36" i="6"/>
  <c r="N35" i="6"/>
  <c r="M36" i="6"/>
  <c r="M35" i="6"/>
  <c r="L36" i="6"/>
  <c r="L35" i="6"/>
  <c r="K36" i="6"/>
  <c r="K35" i="6"/>
  <c r="J36" i="6"/>
  <c r="J35" i="6"/>
  <c r="I36" i="6"/>
  <c r="I35" i="6"/>
  <c r="V34" i="6"/>
  <c r="W34" i="6"/>
  <c r="V33" i="6"/>
  <c r="W33" i="6"/>
  <c r="V32" i="6"/>
  <c r="W32" i="6"/>
  <c r="V31" i="6"/>
  <c r="W31" i="6"/>
  <c r="T30" i="6"/>
  <c r="S30" i="6"/>
  <c r="R30" i="6"/>
  <c r="Q30" i="6"/>
  <c r="P30" i="6"/>
  <c r="O30" i="6"/>
  <c r="N30" i="6"/>
  <c r="M30" i="6"/>
  <c r="L30" i="6"/>
  <c r="K30" i="6"/>
  <c r="J30" i="6"/>
  <c r="I30" i="6"/>
  <c r="T29" i="6"/>
  <c r="V29" i="6"/>
  <c r="W29" i="6"/>
  <c r="V28" i="6"/>
  <c r="W28" i="6"/>
  <c r="V27" i="6"/>
  <c r="W27" i="6"/>
  <c r="V26" i="6"/>
  <c r="W26" i="6"/>
  <c r="V25" i="6"/>
  <c r="W25" i="6"/>
  <c r="T24" i="6"/>
  <c r="V24" i="6"/>
  <c r="W24" i="6"/>
  <c r="V23" i="6"/>
  <c r="W23" i="6"/>
  <c r="V22" i="6"/>
  <c r="W22" i="6"/>
  <c r="T21" i="6"/>
  <c r="S21" i="6"/>
  <c r="R21" i="6"/>
  <c r="Q21" i="6"/>
  <c r="P21" i="6"/>
  <c r="O21" i="6"/>
  <c r="N21" i="6"/>
  <c r="M21" i="6"/>
  <c r="L21" i="6"/>
  <c r="K21" i="6"/>
  <c r="J21" i="6"/>
  <c r="I21" i="6"/>
  <c r="T20" i="6"/>
  <c r="V20" i="6"/>
  <c r="T19" i="6"/>
  <c r="S19" i="6"/>
  <c r="R19" i="6"/>
  <c r="Q19" i="6"/>
  <c r="P19" i="6"/>
  <c r="O19" i="6"/>
  <c r="N19" i="6"/>
  <c r="M19" i="6"/>
  <c r="L19" i="6"/>
  <c r="K19" i="6"/>
  <c r="J19" i="6"/>
  <c r="I19" i="6"/>
  <c r="T17" i="6"/>
  <c r="S17" i="6"/>
  <c r="R17" i="6"/>
  <c r="Q17" i="6"/>
  <c r="P17" i="6"/>
  <c r="P72" i="8"/>
  <c r="P71" i="8"/>
  <c r="P70" i="8"/>
  <c r="M69" i="8"/>
  <c r="L69" i="8"/>
  <c r="K69" i="8"/>
  <c r="J69" i="8"/>
  <c r="I69" i="8"/>
  <c r="H69" i="8"/>
  <c r="G69" i="8"/>
  <c r="F69" i="8"/>
  <c r="E69" i="8"/>
  <c r="P68" i="8"/>
  <c r="P67" i="8"/>
  <c r="M66" i="8"/>
  <c r="L66" i="8"/>
  <c r="K66" i="8"/>
  <c r="J66" i="8"/>
  <c r="I66" i="8"/>
  <c r="H66" i="8"/>
  <c r="G66" i="8"/>
  <c r="F66" i="8"/>
  <c r="E66" i="8"/>
  <c r="D66" i="8"/>
  <c r="P65" i="8"/>
  <c r="P64" i="8"/>
  <c r="P63" i="8"/>
  <c r="P62" i="8"/>
  <c r="P61" i="8"/>
  <c r="P58" i="8"/>
  <c r="P55" i="8"/>
  <c r="P54" i="8"/>
  <c r="J51" i="8"/>
  <c r="I51" i="8"/>
  <c r="H51" i="8"/>
  <c r="G51" i="8"/>
  <c r="F51" i="8"/>
  <c r="E51" i="8"/>
  <c r="D51" i="8"/>
  <c r="P50" i="8"/>
  <c r="P49" i="8"/>
  <c r="P48" i="8"/>
  <c r="P47" i="8"/>
  <c r="P46" i="8"/>
  <c r="P45" i="8"/>
  <c r="P44" i="8"/>
  <c r="D43" i="8"/>
  <c r="P43" i="8"/>
  <c r="P42" i="8"/>
  <c r="P41" i="8"/>
  <c r="P40" i="8"/>
  <c r="P39" i="8"/>
  <c r="P38" i="8"/>
  <c r="P37" i="8"/>
  <c r="P36" i="8"/>
  <c r="M35" i="8"/>
  <c r="L35" i="8"/>
  <c r="K35" i="8"/>
  <c r="J35" i="8"/>
  <c r="I35" i="8"/>
  <c r="H35" i="8"/>
  <c r="G35" i="8"/>
  <c r="F35" i="8"/>
  <c r="E35" i="8"/>
  <c r="D35" i="8"/>
  <c r="J34" i="8"/>
  <c r="P33" i="8"/>
  <c r="L31" i="8"/>
  <c r="J25" i="8"/>
  <c r="I25" i="8"/>
  <c r="H25" i="8"/>
  <c r="G25" i="8"/>
  <c r="F25" i="8"/>
  <c r="E25" i="8"/>
  <c r="D25" i="8"/>
  <c r="J22" i="8"/>
  <c r="J16" i="8"/>
  <c r="J15" i="8"/>
  <c r="I15" i="8"/>
  <c r="H15" i="8"/>
  <c r="G15" i="8"/>
  <c r="F15" i="8"/>
  <c r="E15" i="8"/>
  <c r="D15" i="8"/>
  <c r="K14" i="8"/>
  <c r="J14" i="8"/>
  <c r="J10" i="8"/>
  <c r="J9" i="8"/>
  <c r="I9" i="8"/>
  <c r="H9" i="8"/>
  <c r="G9" i="8"/>
  <c r="F9" i="8"/>
  <c r="E9" i="8"/>
  <c r="D9" i="8"/>
  <c r="AC8" i="8"/>
  <c r="V8" i="8"/>
  <c r="W8" i="8"/>
  <c r="X8" i="8"/>
  <c r="Y8" i="8"/>
  <c r="C108" i="7"/>
  <c r="D108" i="7"/>
  <c r="E108" i="7"/>
  <c r="F108" i="7"/>
  <c r="G108" i="7"/>
  <c r="H108" i="7"/>
  <c r="V22" i="10"/>
  <c r="W23" i="10"/>
  <c r="M17" i="10"/>
  <c r="U17" i="10"/>
  <c r="Y24" i="10"/>
  <c r="K19" i="10"/>
  <c r="K17" i="10"/>
  <c r="O19" i="10"/>
  <c r="S19" i="10"/>
  <c r="N208" i="10"/>
  <c r="W39" i="10"/>
  <c r="X39" i="10"/>
  <c r="V37" i="10"/>
  <c r="V36" i="10"/>
  <c r="X197" i="10"/>
  <c r="W198" i="10"/>
  <c r="W197" i="10"/>
  <c r="X211" i="10"/>
  <c r="W230" i="10"/>
  <c r="X54" i="10"/>
  <c r="X67" i="10"/>
  <c r="X76" i="10"/>
  <c r="X112" i="10"/>
  <c r="X131" i="10"/>
  <c r="W131" i="10"/>
  <c r="K135" i="10"/>
  <c r="O135" i="10"/>
  <c r="S135" i="10"/>
  <c r="W136" i="10"/>
  <c r="J134" i="10"/>
  <c r="N134" i="10"/>
  <c r="R134" i="10"/>
  <c r="W145" i="10"/>
  <c r="X145" i="10"/>
  <c r="X159" i="10"/>
  <c r="V197" i="10"/>
  <c r="M196" i="10"/>
  <c r="Q196" i="10"/>
  <c r="U196" i="10"/>
  <c r="W211" i="10"/>
  <c r="X215" i="10"/>
  <c r="V225" i="10"/>
  <c r="W233" i="10"/>
  <c r="X233" i="10"/>
  <c r="X49" i="10"/>
  <c r="L17" i="10"/>
  <c r="R62" i="10"/>
  <c r="V98" i="10"/>
  <c r="Q134" i="10"/>
  <c r="O45" i="10"/>
  <c r="S45" i="10"/>
  <c r="T17" i="10"/>
  <c r="W55" i="10"/>
  <c r="W54" i="10"/>
  <c r="N62" i="10"/>
  <c r="X89" i="10"/>
  <c r="W107" i="10"/>
  <c r="X107" i="10"/>
  <c r="V114" i="10"/>
  <c r="T111" i="10"/>
  <c r="W150" i="10"/>
  <c r="J19" i="10"/>
  <c r="J17" i="10"/>
  <c r="N19" i="10"/>
  <c r="R19" i="10"/>
  <c r="V31" i="10"/>
  <c r="P17" i="10"/>
  <c r="X60" i="10"/>
  <c r="X108" i="10"/>
  <c r="P111" i="10"/>
  <c r="X223" i="10"/>
  <c r="X202" i="10"/>
  <c r="J208" i="10"/>
  <c r="R208" i="10"/>
  <c r="V210" i="10"/>
  <c r="X217" i="10"/>
  <c r="X231" i="10"/>
  <c r="M208" i="10"/>
  <c r="Q208" i="10"/>
  <c r="U208" i="10"/>
  <c r="U62" i="10"/>
  <c r="U237" i="10"/>
  <c r="U241" i="10"/>
  <c r="N17" i="10"/>
  <c r="R17" i="10"/>
  <c r="R237" i="10"/>
  <c r="R241" i="10"/>
  <c r="V74" i="10"/>
  <c r="X183" i="10"/>
  <c r="W32" i="10"/>
  <c r="W31" i="10"/>
  <c r="X31" i="10"/>
  <c r="V121" i="10"/>
  <c r="L134" i="10"/>
  <c r="V20" i="10"/>
  <c r="V19" i="10"/>
  <c r="X23" i="10"/>
  <c r="X38" i="10"/>
  <c r="W41" i="10"/>
  <c r="X41" i="10"/>
  <c r="W48" i="10"/>
  <c r="X48" i="10"/>
  <c r="X50" i="10"/>
  <c r="W58" i="10"/>
  <c r="W57" i="10"/>
  <c r="X68" i="10"/>
  <c r="W68" i="10"/>
  <c r="W70" i="10"/>
  <c r="W69" i="10"/>
  <c r="W75" i="10"/>
  <c r="W74" i="10"/>
  <c r="X83" i="10"/>
  <c r="W95" i="10"/>
  <c r="X95" i="10"/>
  <c r="J111" i="10"/>
  <c r="J62" i="10"/>
  <c r="X144" i="10"/>
  <c r="W160" i="10"/>
  <c r="V158" i="10"/>
  <c r="L163" i="10"/>
  <c r="I17" i="10"/>
  <c r="X21" i="10"/>
  <c r="W26" i="10"/>
  <c r="W22" i="10"/>
  <c r="X27" i="10"/>
  <c r="W30" i="10"/>
  <c r="X30" i="10"/>
  <c r="W35" i="10"/>
  <c r="X35" i="10"/>
  <c r="W40" i="10"/>
  <c r="X40" i="10"/>
  <c r="I52" i="10"/>
  <c r="W53" i="10"/>
  <c r="V52" i="10"/>
  <c r="V57" i="10"/>
  <c r="X57" i="10"/>
  <c r="X65" i="10"/>
  <c r="L62" i="10"/>
  <c r="L237" i="10"/>
  <c r="L241" i="10"/>
  <c r="P62" i="10"/>
  <c r="T62" i="10"/>
  <c r="X82" i="10"/>
  <c r="X93" i="10"/>
  <c r="T134" i="10"/>
  <c r="X150" i="10"/>
  <c r="X164" i="10"/>
  <c r="W174" i="10"/>
  <c r="X174" i="10"/>
  <c r="V172" i="10"/>
  <c r="X100" i="10"/>
  <c r="X136" i="10"/>
  <c r="I135" i="10"/>
  <c r="W190" i="10"/>
  <c r="V189" i="10"/>
  <c r="V182" i="10"/>
  <c r="X190" i="10"/>
  <c r="W47" i="10"/>
  <c r="X55" i="10"/>
  <c r="V69" i="10"/>
  <c r="V64" i="10"/>
  <c r="X74" i="10"/>
  <c r="K62" i="10"/>
  <c r="O62" i="10"/>
  <c r="S62" i="10"/>
  <c r="W79" i="10"/>
  <c r="W78" i="10"/>
  <c r="X78" i="10"/>
  <c r="V78" i="10"/>
  <c r="I98" i="10"/>
  <c r="W116" i="10"/>
  <c r="X116" i="10"/>
  <c r="W122" i="10"/>
  <c r="I121" i="10"/>
  <c r="P134" i="10"/>
  <c r="W155" i="10"/>
  <c r="X155" i="10"/>
  <c r="X156" i="10"/>
  <c r="K171" i="10"/>
  <c r="O171" i="10"/>
  <c r="O134" i="10"/>
  <c r="S171" i="10"/>
  <c r="S134" i="10"/>
  <c r="W179" i="10"/>
  <c r="X179" i="10"/>
  <c r="V177" i="10"/>
  <c r="W119" i="10"/>
  <c r="W118" i="10"/>
  <c r="V118" i="10"/>
  <c r="X128" i="10"/>
  <c r="W140" i="10"/>
  <c r="V139" i="10"/>
  <c r="X140" i="10"/>
  <c r="W146" i="10"/>
  <c r="W152" i="10"/>
  <c r="X152" i="10"/>
  <c r="W167" i="10"/>
  <c r="X167" i="10"/>
  <c r="V166" i="10"/>
  <c r="X175" i="10"/>
  <c r="W185" i="10"/>
  <c r="X185" i="10"/>
  <c r="L196" i="10"/>
  <c r="P196" i="10"/>
  <c r="T196" i="10"/>
  <c r="X214" i="10"/>
  <c r="W214" i="10"/>
  <c r="W210" i="10"/>
  <c r="T208" i="10"/>
  <c r="X230" i="10"/>
  <c r="W90" i="10"/>
  <c r="X90" i="10"/>
  <c r="X102" i="10"/>
  <c r="W104" i="10"/>
  <c r="W99" i="10"/>
  <c r="W109" i="10"/>
  <c r="X109" i="10"/>
  <c r="X113" i="10"/>
  <c r="X125" i="10"/>
  <c r="W128" i="10"/>
  <c r="W127" i="10"/>
  <c r="W161" i="10"/>
  <c r="X161" i="10"/>
  <c r="V165" i="10"/>
  <c r="W175" i="10"/>
  <c r="W180" i="10"/>
  <c r="X180" i="10"/>
  <c r="W191" i="10"/>
  <c r="X191" i="10"/>
  <c r="I196" i="10"/>
  <c r="V204" i="10"/>
  <c r="W206" i="10"/>
  <c r="W204" i="10"/>
  <c r="K208" i="10"/>
  <c r="O208" i="10"/>
  <c r="S208" i="10"/>
  <c r="X225" i="10"/>
  <c r="I228" i="10"/>
  <c r="X80" i="10"/>
  <c r="X84" i="10"/>
  <c r="X87" i="10"/>
  <c r="W96" i="10"/>
  <c r="W92" i="10"/>
  <c r="X92" i="10"/>
  <c r="X103" i="10"/>
  <c r="M111" i="10"/>
  <c r="M62" i="10"/>
  <c r="M237" i="10"/>
  <c r="M241" i="10"/>
  <c r="Q111" i="10"/>
  <c r="Q62" i="10"/>
  <c r="U111" i="10"/>
  <c r="W115" i="10"/>
  <c r="X115" i="10"/>
  <c r="X120" i="10"/>
  <c r="W126" i="10"/>
  <c r="X126" i="10"/>
  <c r="V127" i="10"/>
  <c r="W141" i="10"/>
  <c r="X141" i="10"/>
  <c r="W147" i="10"/>
  <c r="X147" i="10"/>
  <c r="W153" i="10"/>
  <c r="X153" i="10"/>
  <c r="W168" i="10"/>
  <c r="X168" i="10"/>
  <c r="W186" i="10"/>
  <c r="X186" i="10"/>
  <c r="W201" i="10"/>
  <c r="W200" i="10"/>
  <c r="X200" i="10"/>
  <c r="V200" i="10"/>
  <c r="V220" i="10"/>
  <c r="W222" i="10"/>
  <c r="W220" i="10"/>
  <c r="W235" i="10"/>
  <c r="W234" i="10"/>
  <c r="V234" i="10"/>
  <c r="V228" i="10"/>
  <c r="K44" i="6"/>
  <c r="S44" i="6"/>
  <c r="M12" i="8"/>
  <c r="O44" i="6"/>
  <c r="U18" i="6"/>
  <c r="U16" i="6"/>
  <c r="O59" i="8"/>
  <c r="O51" i="8"/>
  <c r="J165" i="6"/>
  <c r="C76" i="9"/>
  <c r="C89" i="9" s="1"/>
  <c r="O97" i="6"/>
  <c r="M51" i="8"/>
  <c r="P190" i="6"/>
  <c r="I97" i="6"/>
  <c r="M97" i="6"/>
  <c r="Q97" i="6"/>
  <c r="K22" i="8"/>
  <c r="O165" i="6"/>
  <c r="N97" i="6"/>
  <c r="W73" i="6"/>
  <c r="N202" i="6"/>
  <c r="W77" i="6"/>
  <c r="K165" i="6"/>
  <c r="J190" i="6"/>
  <c r="N190" i="6"/>
  <c r="R190" i="6"/>
  <c r="V191" i="6"/>
  <c r="K190" i="6"/>
  <c r="S190" i="6"/>
  <c r="M44" i="6"/>
  <c r="O12" i="8"/>
  <c r="V68" i="6"/>
  <c r="V63" i="6"/>
  <c r="I134" i="6"/>
  <c r="M134" i="6"/>
  <c r="Q134" i="6"/>
  <c r="K26" i="8"/>
  <c r="O26" i="8"/>
  <c r="I44" i="6"/>
  <c r="Q44" i="6"/>
  <c r="K12" i="8"/>
  <c r="O110" i="6"/>
  <c r="O61" i="6"/>
  <c r="O32" i="8"/>
  <c r="L190" i="6"/>
  <c r="S202" i="6"/>
  <c r="J44" i="6"/>
  <c r="N44" i="6"/>
  <c r="R44" i="6"/>
  <c r="L12" i="8"/>
  <c r="V45" i="6"/>
  <c r="W126" i="6"/>
  <c r="O134" i="6"/>
  <c r="V154" i="6"/>
  <c r="I165" i="6"/>
  <c r="M165" i="6"/>
  <c r="T190" i="6"/>
  <c r="P97" i="6"/>
  <c r="T97" i="6"/>
  <c r="N22" i="8"/>
  <c r="J97" i="6"/>
  <c r="J134" i="6"/>
  <c r="N134" i="6"/>
  <c r="R134" i="6"/>
  <c r="L26" i="8"/>
  <c r="V166" i="6"/>
  <c r="L97" i="6"/>
  <c r="O18" i="6"/>
  <c r="L44" i="6"/>
  <c r="P44" i="6"/>
  <c r="T44" i="6"/>
  <c r="N12" i="8"/>
  <c r="T110" i="6"/>
  <c r="N23" i="8"/>
  <c r="L165" i="6"/>
  <c r="P165" i="6"/>
  <c r="T165" i="6"/>
  <c r="N32" i="8"/>
  <c r="J73" i="8"/>
  <c r="J84" i="8"/>
  <c r="P66" i="8"/>
  <c r="O190" i="6"/>
  <c r="W91" i="6"/>
  <c r="R97" i="6"/>
  <c r="L22" i="8"/>
  <c r="L110" i="6"/>
  <c r="K134" i="6"/>
  <c r="S134" i="6"/>
  <c r="M26" i="8"/>
  <c r="P202" i="6"/>
  <c r="T202" i="6"/>
  <c r="K18" i="6"/>
  <c r="K16" i="6"/>
  <c r="S18" i="6"/>
  <c r="M10" i="8"/>
  <c r="M9" i="8"/>
  <c r="J110" i="6"/>
  <c r="N110" i="6"/>
  <c r="R110" i="6"/>
  <c r="L23" i="8"/>
  <c r="L134" i="6"/>
  <c r="P134" i="6"/>
  <c r="T134" i="6"/>
  <c r="N26" i="8"/>
  <c r="N165" i="6"/>
  <c r="R165" i="6"/>
  <c r="L32" i="8"/>
  <c r="Q165" i="6"/>
  <c r="K32" i="8"/>
  <c r="G73" i="8"/>
  <c r="G84" i="8"/>
  <c r="E73" i="8"/>
  <c r="E84" i="8"/>
  <c r="I73" i="8"/>
  <c r="I84" i="8"/>
  <c r="P35" i="8"/>
  <c r="F73" i="8"/>
  <c r="F84" i="8"/>
  <c r="D73" i="8"/>
  <c r="D84" i="8"/>
  <c r="H73" i="8"/>
  <c r="H84" i="8"/>
  <c r="P69" i="8"/>
  <c r="W30" i="6"/>
  <c r="V53" i="6"/>
  <c r="V51" i="6"/>
  <c r="K110" i="6"/>
  <c r="S110" i="6"/>
  <c r="M23" i="8"/>
  <c r="V162" i="6"/>
  <c r="W168" i="6"/>
  <c r="W166" i="6"/>
  <c r="V198" i="6"/>
  <c r="V228" i="6"/>
  <c r="L28" i="8"/>
  <c r="V30" i="6"/>
  <c r="V36" i="6"/>
  <c r="V35" i="6"/>
  <c r="W63" i="6"/>
  <c r="K97" i="6"/>
  <c r="S97" i="6"/>
  <c r="M22" i="8"/>
  <c r="P110" i="6"/>
  <c r="V130" i="6"/>
  <c r="J202" i="6"/>
  <c r="R202" i="6"/>
  <c r="V211" i="6"/>
  <c r="K202" i="6"/>
  <c r="L18" i="6"/>
  <c r="P18" i="6"/>
  <c r="T18" i="6"/>
  <c r="N10" i="8"/>
  <c r="V77" i="6"/>
  <c r="S165" i="6"/>
  <c r="M32" i="8"/>
  <c r="I190" i="6"/>
  <c r="M190" i="6"/>
  <c r="Q190" i="6"/>
  <c r="O202" i="6"/>
  <c r="L16" i="8"/>
  <c r="V21" i="6"/>
  <c r="M18" i="6"/>
  <c r="W21" i="6"/>
  <c r="M16" i="8"/>
  <c r="I18" i="6"/>
  <c r="Q18" i="6"/>
  <c r="W105" i="6"/>
  <c r="P27" i="8"/>
  <c r="J18" i="6"/>
  <c r="N18" i="6"/>
  <c r="R18" i="6"/>
  <c r="W20" i="6"/>
  <c r="W19" i="6"/>
  <c r="V19" i="6"/>
  <c r="V48" i="6"/>
  <c r="W49" i="6"/>
  <c r="W48" i="6"/>
  <c r="W57" i="6"/>
  <c r="W56" i="6"/>
  <c r="V56" i="6"/>
  <c r="P30" i="8"/>
  <c r="W85" i="6"/>
  <c r="V224" i="6"/>
  <c r="W225" i="6"/>
  <c r="W224" i="6"/>
  <c r="W222" i="6"/>
  <c r="P13" i="8"/>
  <c r="P20" i="8"/>
  <c r="P21" i="8"/>
  <c r="P24" i="8"/>
  <c r="I110" i="6"/>
  <c r="M110" i="6"/>
  <c r="Q110" i="6"/>
  <c r="K23" i="8"/>
  <c r="K15" i="8"/>
  <c r="V117" i="6"/>
  <c r="W118" i="6"/>
  <c r="W117" i="6"/>
  <c r="V120" i="6"/>
  <c r="V148" i="6"/>
  <c r="V157" i="6"/>
  <c r="W163" i="6"/>
  <c r="W162" i="6"/>
  <c r="V183" i="6"/>
  <c r="V176" i="6"/>
  <c r="W184" i="6"/>
  <c r="W183" i="6"/>
  <c r="W176" i="6"/>
  <c r="V194" i="6"/>
  <c r="W199" i="6"/>
  <c r="W198" i="6"/>
  <c r="V204" i="6"/>
  <c r="W205" i="6"/>
  <c r="W204" i="6"/>
  <c r="V214" i="6"/>
  <c r="W220" i="6"/>
  <c r="W219" i="6"/>
  <c r="P18" i="8"/>
  <c r="W37" i="6"/>
  <c r="W36" i="6"/>
  <c r="W35" i="6"/>
  <c r="W46" i="6"/>
  <c r="W45" i="6"/>
  <c r="W52" i="6"/>
  <c r="W51" i="6"/>
  <c r="T56" i="6"/>
  <c r="V91" i="6"/>
  <c r="W111" i="6"/>
  <c r="V113" i="6"/>
  <c r="W121" i="6"/>
  <c r="W120" i="6"/>
  <c r="V126" i="6"/>
  <c r="V138" i="6"/>
  <c r="V134" i="6"/>
  <c r="W139" i="6"/>
  <c r="W138" i="6"/>
  <c r="V142" i="6"/>
  <c r="V171" i="6"/>
  <c r="W172" i="6"/>
  <c r="W171" i="6"/>
  <c r="W192" i="6"/>
  <c r="W191" i="6"/>
  <c r="L202" i="6"/>
  <c r="P31" i="8"/>
  <c r="L51" i="8"/>
  <c r="V73" i="6"/>
  <c r="V81" i="6"/>
  <c r="W82" i="6"/>
  <c r="W81" i="6"/>
  <c r="V85" i="6"/>
  <c r="V98" i="6"/>
  <c r="W99" i="6"/>
  <c r="W98" i="6"/>
  <c r="V105" i="6"/>
  <c r="W114" i="6"/>
  <c r="W113" i="6"/>
  <c r="W136" i="6"/>
  <c r="W135" i="6"/>
  <c r="W143" i="6"/>
  <c r="W142" i="6"/>
  <c r="W148" i="6"/>
  <c r="W157" i="6"/>
  <c r="W194" i="6"/>
  <c r="M202" i="6"/>
  <c r="Q202" i="6"/>
  <c r="W214" i="6"/>
  <c r="N51" i="8"/>
  <c r="K51" i="8"/>
  <c r="P11" i="8"/>
  <c r="P19" i="8"/>
  <c r="P29" i="8"/>
  <c r="P34" i="8"/>
  <c r="P56" i="8"/>
  <c r="P57" i="8"/>
  <c r="P17" i="8"/>
  <c r="P53" i="8"/>
  <c r="D108" i="8"/>
  <c r="H108" i="8"/>
  <c r="Z8" i="8"/>
  <c r="AA8" i="8"/>
  <c r="F108" i="8"/>
  <c r="P52" i="8"/>
  <c r="X210" i="10"/>
  <c r="W143" i="10"/>
  <c r="X143" i="10"/>
  <c r="X220" i="10"/>
  <c r="X204" i="10"/>
  <c r="V111" i="10"/>
  <c r="K134" i="10"/>
  <c r="K237" i="10"/>
  <c r="K241" i="10"/>
  <c r="P237" i="10"/>
  <c r="P241" i="10"/>
  <c r="W64" i="10"/>
  <c r="N237" i="10"/>
  <c r="N241" i="10"/>
  <c r="S17" i="10"/>
  <c r="S237" i="10"/>
  <c r="S241" i="10"/>
  <c r="T237" i="10"/>
  <c r="T241" i="10"/>
  <c r="V171" i="10"/>
  <c r="W86" i="10"/>
  <c r="X86" i="10"/>
  <c r="O17" i="10"/>
  <c r="O237" i="10"/>
  <c r="O241" i="10"/>
  <c r="W228" i="10"/>
  <c r="V196" i="10"/>
  <c r="Q237" i="10"/>
  <c r="Q241" i="10"/>
  <c r="W149" i="10"/>
  <c r="X149" i="10"/>
  <c r="X118" i="10"/>
  <c r="W46" i="10"/>
  <c r="W45" i="10"/>
  <c r="X45" i="10"/>
  <c r="X198" i="10"/>
  <c r="X19" i="10"/>
  <c r="X99" i="10"/>
  <c r="W19" i="10"/>
  <c r="X22" i="10"/>
  <c r="X121" i="10"/>
  <c r="W158" i="10"/>
  <c r="J237" i="10"/>
  <c r="J241" i="10"/>
  <c r="X20" i="10"/>
  <c r="W196" i="10"/>
  <c r="X196" i="10"/>
  <c r="W114" i="10"/>
  <c r="I111" i="10"/>
  <c r="X234" i="10"/>
  <c r="X96" i="10"/>
  <c r="V135" i="10"/>
  <c r="W121" i="10"/>
  <c r="X79" i="10"/>
  <c r="X69" i="10"/>
  <c r="X53" i="10"/>
  <c r="W52" i="10"/>
  <c r="X52" i="10"/>
  <c r="X58" i="10"/>
  <c r="V208" i="10"/>
  <c r="W177" i="10"/>
  <c r="X177" i="10"/>
  <c r="V62" i="10"/>
  <c r="W37" i="10"/>
  <c r="X235" i="10"/>
  <c r="X222" i="10"/>
  <c r="X201" i="10"/>
  <c r="X127" i="10"/>
  <c r="I208" i="10"/>
  <c r="X228" i="10"/>
  <c r="X206" i="10"/>
  <c r="X119" i="10"/>
  <c r="W106" i="10"/>
  <c r="X106" i="10"/>
  <c r="W166" i="10"/>
  <c r="X166" i="10"/>
  <c r="X146" i="10"/>
  <c r="W139" i="10"/>
  <c r="W135" i="10"/>
  <c r="X122" i="10"/>
  <c r="X104" i="10"/>
  <c r="W189" i="10"/>
  <c r="X189" i="10"/>
  <c r="W172" i="10"/>
  <c r="X32" i="10"/>
  <c r="X158" i="10"/>
  <c r="X70" i="10"/>
  <c r="X75" i="10"/>
  <c r="X26" i="10"/>
  <c r="W208" i="10"/>
  <c r="W165" i="10"/>
  <c r="V163" i="10"/>
  <c r="X46" i="10"/>
  <c r="X135" i="10"/>
  <c r="I134" i="10"/>
  <c r="X47" i="10"/>
  <c r="X160" i="10"/>
  <c r="V17" i="10"/>
  <c r="X64" i="10"/>
  <c r="I108" i="8"/>
  <c r="O16" i="6"/>
  <c r="M16" i="6"/>
  <c r="J133" i="6"/>
  <c r="N133" i="6"/>
  <c r="L25" i="8"/>
  <c r="K25" i="8"/>
  <c r="V222" i="6"/>
  <c r="P59" i="8"/>
  <c r="N61" i="6"/>
  <c r="J16" i="6"/>
  <c r="J61" i="6"/>
  <c r="M133" i="6"/>
  <c r="O133" i="6"/>
  <c r="M61" i="6"/>
  <c r="R133" i="6"/>
  <c r="W165" i="6"/>
  <c r="K133" i="6"/>
  <c r="N25" i="8"/>
  <c r="L61" i="6"/>
  <c r="P32" i="8"/>
  <c r="O25" i="8"/>
  <c r="I16" i="6"/>
  <c r="I231" i="6"/>
  <c r="I235" i="6"/>
  <c r="P133" i="6"/>
  <c r="Q133" i="6"/>
  <c r="N15" i="8"/>
  <c r="P28" i="8"/>
  <c r="V165" i="6"/>
  <c r="V133" i="6"/>
  <c r="T133" i="6"/>
  <c r="P16" i="6"/>
  <c r="S133" i="6"/>
  <c r="V44" i="6"/>
  <c r="N16" i="6"/>
  <c r="L16" i="6"/>
  <c r="L133" i="6"/>
  <c r="M25" i="8"/>
  <c r="P12" i="8"/>
  <c r="P61" i="6"/>
  <c r="T61" i="6"/>
  <c r="S16" i="6"/>
  <c r="N14" i="8"/>
  <c r="P14" i="8"/>
  <c r="P22" i="8"/>
  <c r="G108" i="8"/>
  <c r="E108" i="8"/>
  <c r="V190" i="6"/>
  <c r="V18" i="6"/>
  <c r="S61" i="6"/>
  <c r="L15" i="8"/>
  <c r="K61" i="6"/>
  <c r="K231" i="6"/>
  <c r="K235" i="6"/>
  <c r="W18" i="6"/>
  <c r="R61" i="6"/>
  <c r="M15" i="8"/>
  <c r="W190" i="6"/>
  <c r="V110" i="6"/>
  <c r="P16" i="8"/>
  <c r="P51" i="8"/>
  <c r="K10" i="8"/>
  <c r="Q16" i="6"/>
  <c r="P26" i="8"/>
  <c r="W97" i="6"/>
  <c r="W110" i="6"/>
  <c r="R16" i="6"/>
  <c r="L10" i="8"/>
  <c r="L9" i="8"/>
  <c r="V202" i="6"/>
  <c r="Q61" i="6"/>
  <c r="W134" i="6"/>
  <c r="V97" i="6"/>
  <c r="W44" i="6"/>
  <c r="W202" i="6"/>
  <c r="O10" i="8"/>
  <c r="O9" i="8"/>
  <c r="T16" i="6"/>
  <c r="AB7" i="8"/>
  <c r="AC7" i="8"/>
  <c r="K52" i="7"/>
  <c r="L52" i="7"/>
  <c r="M52" i="7"/>
  <c r="N52" i="7"/>
  <c r="K53" i="7"/>
  <c r="L53" i="7"/>
  <c r="M53" i="7"/>
  <c r="N53" i="7"/>
  <c r="K56" i="7"/>
  <c r="L56" i="7"/>
  <c r="M56" i="7"/>
  <c r="N56" i="7"/>
  <c r="K57" i="7"/>
  <c r="L57" i="7"/>
  <c r="M57" i="7"/>
  <c r="N57" i="7"/>
  <c r="K59" i="7"/>
  <c r="L59" i="7"/>
  <c r="M59" i="7"/>
  <c r="N59" i="7"/>
  <c r="K26" i="7"/>
  <c r="L26" i="7"/>
  <c r="M26" i="7"/>
  <c r="N26" i="7"/>
  <c r="K27" i="7"/>
  <c r="L27" i="7"/>
  <c r="M27" i="7"/>
  <c r="N27" i="7"/>
  <c r="K28" i="7"/>
  <c r="L28" i="7"/>
  <c r="M28" i="7"/>
  <c r="N28" i="7"/>
  <c r="K29" i="7"/>
  <c r="L29" i="7"/>
  <c r="M29" i="7"/>
  <c r="N29" i="7"/>
  <c r="K30" i="7"/>
  <c r="L30" i="7"/>
  <c r="M30" i="7"/>
  <c r="N30" i="7"/>
  <c r="K31" i="7"/>
  <c r="L31" i="7"/>
  <c r="M31" i="7"/>
  <c r="N31" i="7"/>
  <c r="K32" i="7"/>
  <c r="L32" i="7"/>
  <c r="M32" i="7"/>
  <c r="N32" i="7"/>
  <c r="K34" i="7"/>
  <c r="L34" i="7"/>
  <c r="M34" i="7"/>
  <c r="N34" i="7"/>
  <c r="K16" i="7"/>
  <c r="L16" i="7"/>
  <c r="M16" i="7"/>
  <c r="N16" i="7"/>
  <c r="K17" i="7"/>
  <c r="L17" i="7"/>
  <c r="M17" i="7"/>
  <c r="N17" i="7"/>
  <c r="K18" i="7"/>
  <c r="L18" i="7"/>
  <c r="M18" i="7"/>
  <c r="N18" i="7"/>
  <c r="K19" i="7"/>
  <c r="L19" i="7"/>
  <c r="M19" i="7"/>
  <c r="N19" i="7"/>
  <c r="K20" i="7"/>
  <c r="L20" i="7"/>
  <c r="M20" i="7"/>
  <c r="N20" i="7"/>
  <c r="K21" i="7"/>
  <c r="L21" i="7"/>
  <c r="M21" i="7"/>
  <c r="N21" i="7"/>
  <c r="K22" i="7"/>
  <c r="L22" i="7"/>
  <c r="M22" i="7"/>
  <c r="N22" i="7"/>
  <c r="K23" i="7"/>
  <c r="L23" i="7"/>
  <c r="M23" i="7"/>
  <c r="N23" i="7"/>
  <c r="K24" i="7"/>
  <c r="L24" i="7"/>
  <c r="M24" i="7"/>
  <c r="N24" i="7"/>
  <c r="K10" i="7"/>
  <c r="L10" i="7"/>
  <c r="N10" i="7"/>
  <c r="K11" i="7"/>
  <c r="L11" i="7"/>
  <c r="M11" i="7"/>
  <c r="N11" i="7"/>
  <c r="K12" i="7"/>
  <c r="L12" i="7"/>
  <c r="M12" i="7"/>
  <c r="N12" i="7"/>
  <c r="K13" i="7"/>
  <c r="L13" i="7"/>
  <c r="M13" i="7"/>
  <c r="N13" i="7"/>
  <c r="K14" i="7"/>
  <c r="L14" i="7"/>
  <c r="M14" i="7"/>
  <c r="N14" i="7"/>
  <c r="J20" i="7"/>
  <c r="J23" i="7"/>
  <c r="J29" i="7"/>
  <c r="J34" i="7"/>
  <c r="J52" i="7"/>
  <c r="J53" i="7"/>
  <c r="J12" i="7"/>
  <c r="J11" i="7"/>
  <c r="C10" i="2"/>
  <c r="C16" i="2"/>
  <c r="C17" i="2"/>
  <c r="C18" i="2"/>
  <c r="C19" i="2"/>
  <c r="C22" i="2"/>
  <c r="C23" i="2"/>
  <c r="C27" i="2"/>
  <c r="C28" i="2"/>
  <c r="C30" i="2"/>
  <c r="C31" i="2"/>
  <c r="C32" i="2"/>
  <c r="C34" i="2"/>
  <c r="C52" i="2"/>
  <c r="C56" i="2"/>
  <c r="O58" i="7"/>
  <c r="O54" i="7"/>
  <c r="J28" i="7"/>
  <c r="J27" i="7"/>
  <c r="O33" i="7"/>
  <c r="J14" i="7"/>
  <c r="O72" i="7"/>
  <c r="O71" i="7"/>
  <c r="O70" i="7"/>
  <c r="O69" i="7"/>
  <c r="L69" i="7"/>
  <c r="K69" i="7"/>
  <c r="J69" i="7"/>
  <c r="I69" i="7"/>
  <c r="H69" i="7"/>
  <c r="G69" i="7"/>
  <c r="F69" i="7"/>
  <c r="E69" i="7"/>
  <c r="D69" i="7"/>
  <c r="O68" i="7"/>
  <c r="O67" i="7"/>
  <c r="L66" i="7"/>
  <c r="K66" i="7"/>
  <c r="J66" i="7"/>
  <c r="I66" i="7"/>
  <c r="H66" i="7"/>
  <c r="G66" i="7"/>
  <c r="F66" i="7"/>
  <c r="E66" i="7"/>
  <c r="D66" i="7"/>
  <c r="C66" i="7"/>
  <c r="O65" i="7"/>
  <c r="O64" i="7"/>
  <c r="O63" i="7"/>
  <c r="O62" i="7"/>
  <c r="O61" i="7"/>
  <c r="O60" i="7"/>
  <c r="O55" i="7"/>
  <c r="I51" i="7"/>
  <c r="H51" i="7"/>
  <c r="G51" i="7"/>
  <c r="F51" i="7"/>
  <c r="E51" i="7"/>
  <c r="D51" i="7"/>
  <c r="C51" i="7"/>
  <c r="O50" i="7"/>
  <c r="O49" i="7"/>
  <c r="O48" i="7"/>
  <c r="O47" i="7"/>
  <c r="O46" i="7"/>
  <c r="O45" i="7"/>
  <c r="O44" i="7"/>
  <c r="C43" i="7"/>
  <c r="O43" i="7"/>
  <c r="O42" i="7"/>
  <c r="O41" i="7"/>
  <c r="O40" i="7"/>
  <c r="O39" i="7"/>
  <c r="O38" i="7"/>
  <c r="O37" i="7"/>
  <c r="O36" i="7"/>
  <c r="O35" i="7"/>
  <c r="L35" i="7"/>
  <c r="K35" i="7"/>
  <c r="J35" i="7"/>
  <c r="I35" i="7"/>
  <c r="H35" i="7"/>
  <c r="G35" i="7"/>
  <c r="F35" i="7"/>
  <c r="E35" i="7"/>
  <c r="D35" i="7"/>
  <c r="C35" i="7"/>
  <c r="I34" i="7"/>
  <c r="I25" i="7"/>
  <c r="H25" i="7"/>
  <c r="G25" i="7"/>
  <c r="F25" i="7"/>
  <c r="E25" i="7"/>
  <c r="D25" i="7"/>
  <c r="C25" i="7"/>
  <c r="I22" i="7"/>
  <c r="I15" i="7"/>
  <c r="I16" i="7"/>
  <c r="H15" i="7"/>
  <c r="G15" i="7"/>
  <c r="F15" i="7"/>
  <c r="E15" i="7"/>
  <c r="D15" i="7"/>
  <c r="C15" i="7"/>
  <c r="I14" i="7"/>
  <c r="I10" i="7"/>
  <c r="H9" i="7"/>
  <c r="G9" i="7"/>
  <c r="G73" i="7"/>
  <c r="G84" i="7"/>
  <c r="F9" i="7"/>
  <c r="E9" i="7"/>
  <c r="E73" i="7"/>
  <c r="E84" i="7"/>
  <c r="D9" i="7"/>
  <c r="C9" i="7"/>
  <c r="C73" i="7"/>
  <c r="C84" i="7"/>
  <c r="AB8" i="7"/>
  <c r="U8" i="7"/>
  <c r="V8" i="7"/>
  <c r="J57" i="7"/>
  <c r="J31" i="7"/>
  <c r="J30" i="7"/>
  <c r="J26" i="7"/>
  <c r="J24" i="7"/>
  <c r="J22" i="7"/>
  <c r="J21" i="7"/>
  <c r="J19" i="7"/>
  <c r="J18" i="7"/>
  <c r="J17" i="7"/>
  <c r="J13" i="7"/>
  <c r="J10" i="7"/>
  <c r="L73" i="3"/>
  <c r="L76" i="3"/>
  <c r="M84" i="3"/>
  <c r="L10" i="3"/>
  <c r="L15" i="3"/>
  <c r="L16" i="3"/>
  <c r="L34" i="3"/>
  <c r="L14" i="3"/>
  <c r="L32" i="3"/>
  <c r="L28" i="3"/>
  <c r="L25" i="3"/>
  <c r="L23" i="3"/>
  <c r="L22" i="3"/>
  <c r="L21" i="3"/>
  <c r="K10" i="3"/>
  <c r="K15" i="3"/>
  <c r="K51" i="3"/>
  <c r="K25" i="3"/>
  <c r="K14" i="3"/>
  <c r="I10" i="3"/>
  <c r="B8" i="2"/>
  <c r="I14" i="3"/>
  <c r="I34" i="3"/>
  <c r="I22" i="3"/>
  <c r="I16" i="3"/>
  <c r="D15" i="3"/>
  <c r="O12" i="3"/>
  <c r="O13" i="3"/>
  <c r="X208" i="10"/>
  <c r="W163" i="10"/>
  <c r="W171" i="10"/>
  <c r="X171" i="10"/>
  <c r="W36" i="10"/>
  <c r="X36" i="10"/>
  <c r="X37" i="10"/>
  <c r="I62" i="10"/>
  <c r="W111" i="10"/>
  <c r="X111" i="10"/>
  <c r="X114" i="10"/>
  <c r="X172" i="10"/>
  <c r="X165" i="10"/>
  <c r="V134" i="10"/>
  <c r="V237" i="10"/>
  <c r="V241" i="10"/>
  <c r="W98" i="10"/>
  <c r="W182" i="10"/>
  <c r="X182" i="10"/>
  <c r="X163" i="10"/>
  <c r="X139" i="10"/>
  <c r="O231" i="6"/>
  <c r="O235" i="6"/>
  <c r="W133" i="6"/>
  <c r="M231" i="6"/>
  <c r="M235" i="6"/>
  <c r="J231" i="6"/>
  <c r="J235" i="6"/>
  <c r="N231" i="6"/>
  <c r="N235" i="6"/>
  <c r="L51" i="7"/>
  <c r="M73" i="8"/>
  <c r="M76" i="8"/>
  <c r="N9" i="8"/>
  <c r="N73" i="8"/>
  <c r="N84" i="8"/>
  <c r="O108" i="8"/>
  <c r="P231" i="6"/>
  <c r="P235" i="6"/>
  <c r="P23" i="8"/>
  <c r="P15" i="8"/>
  <c r="L231" i="6"/>
  <c r="L235" i="6"/>
  <c r="P25" i="8"/>
  <c r="V16" i="6"/>
  <c r="O73" i="8"/>
  <c r="O84" i="8"/>
  <c r="N108" i="8"/>
  <c r="V61" i="6"/>
  <c r="S231" i="6"/>
  <c r="S235" i="6"/>
  <c r="R231" i="6"/>
  <c r="R235" i="6"/>
  <c r="M15" i="7"/>
  <c r="M25" i="7"/>
  <c r="T231" i="6"/>
  <c r="T235" i="6"/>
  <c r="W16" i="6"/>
  <c r="L73" i="8"/>
  <c r="L84" i="8"/>
  <c r="Q231" i="6"/>
  <c r="Q235" i="6"/>
  <c r="W61" i="6"/>
  <c r="N15" i="7"/>
  <c r="K51" i="7"/>
  <c r="K15" i="7"/>
  <c r="K25" i="7"/>
  <c r="K9" i="8"/>
  <c r="K73" i="8"/>
  <c r="K84" i="8"/>
  <c r="J108" i="8"/>
  <c r="P10" i="8"/>
  <c r="P9" i="8"/>
  <c r="O17" i="7"/>
  <c r="O31" i="7"/>
  <c r="O57" i="7"/>
  <c r="O52" i="7"/>
  <c r="O20" i="7"/>
  <c r="N9" i="7"/>
  <c r="O19" i="7"/>
  <c r="M9" i="7"/>
  <c r="N25" i="7"/>
  <c r="N51" i="7"/>
  <c r="F73" i="7"/>
  <c r="F84" i="7"/>
  <c r="I9" i="7"/>
  <c r="I73" i="7"/>
  <c r="I84" i="7"/>
  <c r="O66" i="7"/>
  <c r="M51" i="7"/>
  <c r="O22" i="7"/>
  <c r="L9" i="7"/>
  <c r="D73" i="7"/>
  <c r="D84" i="7"/>
  <c r="H73" i="7"/>
  <c r="H84" i="7"/>
  <c r="K9" i="7"/>
  <c r="O26" i="7"/>
  <c r="O27" i="7"/>
  <c r="O29" i="7"/>
  <c r="O30" i="7"/>
  <c r="O28" i="7"/>
  <c r="O18" i="7"/>
  <c r="O24" i="7"/>
  <c r="O10" i="7"/>
  <c r="O11" i="7"/>
  <c r="O13" i="7"/>
  <c r="O12" i="7"/>
  <c r="J16" i="7"/>
  <c r="J15" i="7"/>
  <c r="O23" i="7"/>
  <c r="O34" i="7"/>
  <c r="O14" i="7"/>
  <c r="O53" i="7"/>
  <c r="O21" i="7"/>
  <c r="J9" i="7"/>
  <c r="J32" i="7"/>
  <c r="J25" i="7"/>
  <c r="W8" i="7"/>
  <c r="X8" i="7"/>
  <c r="Y8" i="7"/>
  <c r="Z8" i="7"/>
  <c r="L15" i="7"/>
  <c r="L25" i="7"/>
  <c r="J59" i="7"/>
  <c r="L9" i="3"/>
  <c r="O11" i="3"/>
  <c r="O10" i="3"/>
  <c r="O27" i="3"/>
  <c r="M25" i="3"/>
  <c r="W134" i="10"/>
  <c r="X134" i="10"/>
  <c r="W62" i="10"/>
  <c r="X62" i="10"/>
  <c r="X98" i="10"/>
  <c r="W17" i="10"/>
  <c r="I237" i="10"/>
  <c r="M84" i="8"/>
  <c r="L108" i="8"/>
  <c r="V231" i="6"/>
  <c r="V235" i="6"/>
  <c r="N73" i="7"/>
  <c r="N84" i="7"/>
  <c r="W231" i="6"/>
  <c r="W235" i="6"/>
  <c r="K73" i="7"/>
  <c r="K84" i="7"/>
  <c r="P73" i="8"/>
  <c r="P84" i="8"/>
  <c r="M73" i="7"/>
  <c r="M84" i="7"/>
  <c r="K108" i="8"/>
  <c r="AA7" i="7"/>
  <c r="AB7" i="7"/>
  <c r="L73" i="7"/>
  <c r="L76" i="7"/>
  <c r="O9" i="7"/>
  <c r="O16" i="7"/>
  <c r="O15" i="7"/>
  <c r="O32" i="7"/>
  <c r="O25" i="7"/>
  <c r="J9" i="3"/>
  <c r="I241" i="10"/>
  <c r="W237" i="10"/>
  <c r="X237" i="10"/>
  <c r="X17" i="10"/>
  <c r="M108" i="8"/>
  <c r="J4" i="8"/>
  <c r="M108" i="7"/>
  <c r="L84" i="7"/>
  <c r="J56" i="7"/>
  <c r="C51" i="2"/>
  <c r="C25" i="2"/>
  <c r="C15" i="2"/>
  <c r="C9" i="2"/>
  <c r="K108" i="7"/>
  <c r="L108" i="7"/>
  <c r="J51" i="7"/>
  <c r="J73" i="7"/>
  <c r="J84" i="7"/>
  <c r="O56" i="7"/>
  <c r="O51" i="7"/>
  <c r="O73" i="7"/>
  <c r="O84" i="7"/>
  <c r="N108" i="7"/>
  <c r="C8" i="2"/>
  <c r="C73" i="2"/>
  <c r="C86" i="2"/>
  <c r="I108" i="7"/>
  <c r="J108" i="7"/>
  <c r="G15" i="3"/>
  <c r="I4" i="7"/>
  <c r="O52" i="3"/>
  <c r="O16" i="3"/>
  <c r="G51" i="3"/>
  <c r="H51" i="3"/>
  <c r="N25" i="3"/>
  <c r="N51" i="3"/>
  <c r="O29" i="3"/>
  <c r="O24" i="3"/>
  <c r="J51" i="3"/>
  <c r="I25" i="3"/>
  <c r="I15" i="3"/>
  <c r="H15" i="3"/>
  <c r="F15" i="3"/>
  <c r="F9" i="3"/>
  <c r="E15" i="3"/>
  <c r="D9" i="3"/>
  <c r="M51" i="3"/>
  <c r="L51" i="3"/>
  <c r="O34" i="3"/>
  <c r="O30" i="3"/>
  <c r="O28" i="3"/>
  <c r="O26" i="3"/>
  <c r="O23" i="3"/>
  <c r="O22" i="3"/>
  <c r="O21" i="3"/>
  <c r="O18" i="3"/>
  <c r="N15" i="3"/>
  <c r="M15" i="3"/>
  <c r="O17" i="3"/>
  <c r="N9" i="3"/>
  <c r="O14" i="3"/>
  <c r="O9" i="3"/>
  <c r="N73" i="3"/>
  <c r="M73" i="3"/>
  <c r="N84" i="3"/>
  <c r="J15" i="3"/>
  <c r="J73" i="3"/>
  <c r="K9" i="3"/>
  <c r="K73" i="3"/>
  <c r="I9" i="3"/>
  <c r="E9" i="3"/>
  <c r="G9" i="3"/>
  <c r="H9" i="3"/>
  <c r="J69" i="3"/>
  <c r="K69" i="3"/>
  <c r="L69" i="3"/>
  <c r="I69" i="3"/>
  <c r="D69" i="3"/>
  <c r="E69" i="3"/>
  <c r="F69" i="3"/>
  <c r="G69" i="3"/>
  <c r="H69" i="3"/>
  <c r="D66" i="3"/>
  <c r="E66" i="3"/>
  <c r="F66" i="3"/>
  <c r="G66" i="3"/>
  <c r="H66" i="3"/>
  <c r="I66" i="3"/>
  <c r="J66" i="3"/>
  <c r="K66" i="3"/>
  <c r="L66" i="3"/>
  <c r="C66" i="3"/>
  <c r="D51" i="3"/>
  <c r="E51" i="3"/>
  <c r="F51" i="3"/>
  <c r="I51" i="3"/>
  <c r="C51" i="3"/>
  <c r="L35" i="3"/>
  <c r="D35" i="3"/>
  <c r="E35" i="3"/>
  <c r="F35" i="3"/>
  <c r="G35" i="3"/>
  <c r="H35" i="3"/>
  <c r="I35" i="3"/>
  <c r="J35" i="3"/>
  <c r="K35" i="3"/>
  <c r="C43" i="3"/>
  <c r="C35" i="3"/>
  <c r="D25" i="3"/>
  <c r="E25" i="3"/>
  <c r="F25" i="3"/>
  <c r="G25" i="3"/>
  <c r="H25" i="3"/>
  <c r="J25" i="3"/>
  <c r="C25" i="3"/>
  <c r="C15" i="3"/>
  <c r="C9" i="3"/>
  <c r="D73" i="3"/>
  <c r="I73" i="3"/>
  <c r="F73" i="3"/>
  <c r="E73" i="3"/>
  <c r="H73" i="3"/>
  <c r="G73" i="3"/>
  <c r="C73" i="3"/>
  <c r="O32" i="3"/>
  <c r="O25" i="3"/>
  <c r="O67" i="3"/>
  <c r="O68" i="3"/>
  <c r="O70" i="3"/>
  <c r="O71" i="3"/>
  <c r="O72" i="3"/>
  <c r="O60" i="3"/>
  <c r="O61" i="3"/>
  <c r="O62" i="3"/>
  <c r="O63" i="3"/>
  <c r="O64" i="3"/>
  <c r="O65" i="3"/>
  <c r="O40" i="3"/>
  <c r="O41" i="3"/>
  <c r="O42" i="3"/>
  <c r="O43" i="3"/>
  <c r="O44" i="3"/>
  <c r="O45" i="3"/>
  <c r="O46" i="3"/>
  <c r="O47" i="3"/>
  <c r="O48" i="3"/>
  <c r="O49" i="3"/>
  <c r="O50" i="3"/>
  <c r="O53" i="3"/>
  <c r="O54" i="3"/>
  <c r="O55" i="3"/>
  <c r="O56" i="3"/>
  <c r="O57" i="3"/>
  <c r="O58" i="3"/>
  <c r="O38" i="3"/>
  <c r="O39" i="3"/>
  <c r="O36" i="3"/>
  <c r="O37" i="3"/>
  <c r="O33" i="3"/>
  <c r="O31" i="3"/>
  <c r="O19" i="3"/>
  <c r="O20" i="3"/>
  <c r="O51" i="3"/>
  <c r="O15" i="3"/>
  <c r="O66" i="3"/>
  <c r="O35" i="3"/>
  <c r="O69" i="3"/>
  <c r="L84" i="3"/>
  <c r="K84" i="3"/>
  <c r="J84" i="3"/>
  <c r="I84" i="3"/>
  <c r="H84" i="3"/>
  <c r="G84" i="3"/>
  <c r="F84" i="3"/>
  <c r="E84" i="3"/>
  <c r="D84" i="3"/>
  <c r="C84" i="3"/>
  <c r="O73" i="3"/>
  <c r="O84" i="3"/>
  <c r="B61" i="2"/>
  <c r="B66" i="2"/>
  <c r="B69" i="2"/>
  <c r="B25" i="2"/>
  <c r="B9" i="2"/>
  <c r="B43" i="2"/>
  <c r="B15" i="2"/>
  <c r="B51" i="2"/>
  <c r="B73" i="2"/>
  <c r="B86" i="2"/>
  <c r="U8" i="3"/>
  <c r="V8" i="3"/>
  <c r="W8" i="3"/>
  <c r="X8" i="3"/>
  <c r="Y8" i="3"/>
  <c r="Z8" i="3"/>
  <c r="AB8" i="3"/>
  <c r="AA7" i="3"/>
  <c r="AB7" i="3"/>
  <c r="B8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H239" authorId="0" shapeId="0" xr:uid="{A2C1ABE3-324E-4297-A2E3-5E2C2B746938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1.-Desde el archivo "Modificaciones y Disponibilidad" del mes, copiar desde la línea 16 hasta la línea anterior al Total General (231) y luego pegar en la línea 16, como valores (1-2-3) 
2.-Del mismo archivo, copiar la línea del  Total General (231) y pegar como valores.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H233" authorId="0" shapeId="0" xr:uid="{8A27B5D8-7C88-443D-9D6A-9ADDB411C17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1.-Desde el archivo "Modificaciones y Disponibilidad" del mes, copiar desde la línea 16 hasta la línea anterior al Total General (231) y luego pegar en la línea 16, como valores (1-2-3) 
2.-Del mismo archivo, copiar la línea del  Total General (231) y pegar como valores.</t>
        </r>
      </text>
    </comment>
  </commentList>
</comments>
</file>

<file path=xl/sharedStrings.xml><?xml version="1.0" encoding="utf-8"?>
<sst xmlns="http://schemas.openxmlformats.org/spreadsheetml/2006/main" count="1228" uniqueCount="361">
  <si>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</si>
  <si>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</si>
  <si>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</si>
  <si>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</si>
  <si>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</si>
  <si>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</si>
  <si>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</si>
  <si>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</si>
  <si>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</si>
  <si>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</si>
  <si>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</si>
  <si>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</si>
  <si>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</si>
  <si>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</si>
  <si>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</si>
  <si>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</si>
  <si>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</si>
  <si>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</si>
  <si>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</si>
  <si>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</si>
  <si>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</si>
  <si>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</si>
  <si>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</si>
  <si>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</si>
  <si>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</si>
  <si>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</si>
  <si>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</si>
  <si>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</si>
  <si>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</si>
  <si>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</si>
  <si>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</si>
  <si>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</si>
  <si>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</si>
  <si>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</si>
  <si>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</si>
  <si>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</si>
  <si>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</si>
  <si>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</si>
  <si>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</si>
  <si>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</si>
  <si>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</si>
  <si>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</si>
  <si>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</si>
  <si>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</si>
  <si>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</si>
  <si>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</si>
  <si>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</si>
  <si>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</si>
  <si>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</si>
  <si>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</si>
  <si>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</si>
  <si>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</si>
  <si>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</si>
  <si>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</si>
  <si>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</si>
  <si>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</si>
  <si>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</si>
  <si>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</si>
  <si>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</si>
  <si>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</si>
  <si>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</si>
  <si>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</si>
  <si>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</si>
  <si>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</si>
  <si>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</si>
  <si>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</si>
  <si>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</si>
  <si>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</si>
  <si>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</si>
  <si>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</si>
  <si>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</si>
  <si>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</si>
  <si>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</si>
  <si>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</si>
  <si>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</si>
  <si>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</si>
  <si>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</si>
  <si>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</si>
  <si>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</si>
  <si>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</si>
  <si>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</si>
  <si>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</si>
  <si>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</si>
  <si>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</si>
  <si>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</si>
  <si>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</si>
  <si>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</si>
  <si>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</si>
  <si>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</si>
  <si>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</si>
  <si>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</si>
  <si>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</si>
  <si>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</si>
  <si>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</si>
  <si>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</si>
  <si>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</si>
  <si>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</si>
  <si>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</si>
  <si>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</si>
  <si>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</si>
  <si>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</si>
  <si>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</si>
  <si>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</si>
  <si>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Total </t>
  </si>
  <si>
    <t>Consejo Nacional de Investigaciones Agropecuarias y Forestales</t>
  </si>
  <si>
    <t>CONIAF</t>
  </si>
  <si>
    <t>Preparado por:                                                                                                                                                                                                      Revisado por:</t>
  </si>
  <si>
    <t xml:space="preserve">                 Revisado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</si>
  <si>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</si>
  <si>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</si>
  <si>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__________________________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</si>
  <si>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</si>
  <si>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Autorizado por:</t>
  </si>
  <si>
    <t xml:space="preserve"> </t>
  </si>
  <si>
    <t>Total</t>
  </si>
  <si>
    <t>Noviembre</t>
  </si>
  <si>
    <t>Enc. Depto. Administrativo y Financiero</t>
  </si>
  <si>
    <t>Diciembre</t>
  </si>
  <si>
    <t xml:space="preserve">                    Contadora </t>
  </si>
  <si>
    <t>__________________________________</t>
  </si>
  <si>
    <t>_______________________________</t>
  </si>
  <si>
    <t>Año 2021</t>
  </si>
  <si>
    <t>Dr. Juan Tomas Reyes de los Santos</t>
  </si>
  <si>
    <t>Enc. Dpto. Administrativo y Financiero</t>
  </si>
  <si>
    <t xml:space="preserve">       Lic. Cruz Dilia Agramonte Perez</t>
  </si>
  <si>
    <t xml:space="preserve">               Enc. Contabilidad</t>
  </si>
  <si>
    <t>Dra. Ana Maria Barcelo Larocca</t>
  </si>
  <si>
    <t xml:space="preserve">           Directora Ejecutiva</t>
  </si>
  <si>
    <t xml:space="preserve">                                                              </t>
  </si>
  <si>
    <t xml:space="preserve">                  </t>
  </si>
  <si>
    <t xml:space="preserve">                </t>
  </si>
  <si>
    <t xml:space="preserve">          ________________________________________</t>
  </si>
  <si>
    <t xml:space="preserve">                  Preparado por 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</si>
  <si>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</t>
  </si>
  <si>
    <t xml:space="preserve">                                                                                                              Dra. Ana Maria Barcelo Larocca</t>
  </si>
  <si>
    <t xml:space="preserve">                                                                                                                          Directora Ejecutiva</t>
  </si>
  <si>
    <t xml:space="preserve">   Licda. Cruz Dilia Agramonte Pérez</t>
  </si>
  <si>
    <t>___________________________</t>
  </si>
  <si>
    <t>Lic. Mayra Martinez Romero</t>
  </si>
  <si>
    <t>Ejecución de Gastos y Aplicaciones Financieras al Mes de octubre 2021</t>
  </si>
  <si>
    <t>VALOR (RD$)</t>
  </si>
  <si>
    <t xml:space="preserve">TIPO        </t>
  </si>
  <si>
    <t>OBJETO</t>
  </si>
  <si>
    <t>CUENTA</t>
  </si>
  <si>
    <t>SUBCUENTA</t>
  </si>
  <si>
    <t xml:space="preserve">AUXILIAR                              </t>
  </si>
  <si>
    <t xml:space="preserve">CONCEPTO  DEFINICIÓN </t>
  </si>
  <si>
    <t>Enero</t>
  </si>
  <si>
    <t>Febrero</t>
  </si>
  <si>
    <t>Ejecutado</t>
  </si>
  <si>
    <t>Disponible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</si>
  <si>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</si>
  <si>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</si>
  <si>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</si>
  <si>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</si>
  <si>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</si>
  <si>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</si>
  <si>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</si>
  <si>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</si>
  <si>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</si>
  <si>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</si>
  <si>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</si>
  <si>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</si>
  <si>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</si>
  <si>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</si>
  <si>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</si>
  <si>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10</t>
  </si>
  <si>
    <t>Sueldos  al personal fjo en tramite de pensiones</t>
  </si>
  <si>
    <t>Sueldo anual no. 13</t>
  </si>
  <si>
    <t>Prestaciones economicas</t>
  </si>
  <si>
    <t>pago de porcentajes por desvinculaion de cargo</t>
  </si>
  <si>
    <t xml:space="preserve">Prestacion laboral por desvinculacion </t>
  </si>
  <si>
    <t>Proporcion de vacaciones no disfrutada</t>
  </si>
  <si>
    <t>SOBRESUELDOS</t>
  </si>
  <si>
    <t>Compensación</t>
  </si>
  <si>
    <t>Compesación por gastos de alimentación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</si>
  <si>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</si>
  <si>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</si>
  <si>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</si>
  <si>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</si>
  <si>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</si>
  <si>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</si>
  <si>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Compensación por Cumpliento de Indice (SISMAP)</t>
  </si>
  <si>
    <t>DIETAS y GASTOS  DE REPRESENTACIÓN</t>
  </si>
  <si>
    <t>Dietas</t>
  </si>
  <si>
    <t>Dietas en el país</t>
  </si>
  <si>
    <t>Dietas en el Exterior</t>
  </si>
  <si>
    <t>GASTOS DE REPRESENTACION</t>
  </si>
  <si>
    <t>Gastos de Representacion  en el Pais</t>
  </si>
  <si>
    <t>GRATIFICACIONES Y BONICFICACIONES</t>
  </si>
  <si>
    <t>Bonificaciones</t>
  </si>
  <si>
    <t>Otras Bonificaciones y Gratificaciones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</si>
  <si>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</si>
  <si>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</si>
  <si>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</si>
  <si>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</si>
  <si>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</si>
  <si>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</si>
  <si>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</si>
  <si>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</si>
  <si>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</si>
  <si>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</si>
  <si>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</si>
  <si>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</si>
  <si>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</si>
  <si>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</si>
  <si>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</si>
  <si>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</si>
  <si>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Publicidad y propaganda</t>
  </si>
  <si>
    <t>Impresión y encuadernación</t>
  </si>
  <si>
    <t>VIÁTICOS</t>
  </si>
  <si>
    <t>Viáticos  dentro del país</t>
  </si>
  <si>
    <t>Viáticos Fuera del país</t>
  </si>
  <si>
    <t>TRANSPORTE Y ALMACENAJE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</si>
  <si>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</si>
  <si>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</si>
  <si>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</si>
  <si>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</si>
  <si>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</si>
  <si>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Licencias Informatica</t>
  </si>
  <si>
    <t>SEGUROS</t>
  </si>
  <si>
    <t>Seguro de bienes inmuebles</t>
  </si>
  <si>
    <t>Seguros de bienes muebles</t>
  </si>
  <si>
    <t xml:space="preserve">Seguros de personas </t>
  </si>
  <si>
    <t>Otros seguros</t>
  </si>
  <si>
    <t xml:space="preserve"> SERVICIOS DE CONSERVACIÓN, REPARACIONES MENORES</t>
  </si>
  <si>
    <t>Contratación de obras menores</t>
  </si>
  <si>
    <t xml:space="preserve">Obras menores  en edificaciones 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</si>
  <si>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</si>
  <si>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</si>
  <si>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</si>
  <si>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</si>
  <si>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99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</si>
  <si>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</si>
  <si>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</si>
  <si>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</si>
  <si>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</si>
  <si>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</si>
  <si>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</si>
  <si>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</si>
  <si>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</si>
  <si>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</si>
  <si>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</si>
  <si>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</si>
  <si>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</si>
  <si>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</si>
  <si>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</si>
  <si>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</si>
  <si>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</si>
  <si>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investigaciones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</si>
  <si>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</si>
  <si>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</si>
  <si>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</si>
  <si>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</si>
  <si>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</si>
  <si>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</si>
  <si>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</si>
  <si>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Otras contrataciones de servicios</t>
  </si>
  <si>
    <t>servicios de alimentacion</t>
  </si>
  <si>
    <t>MATERIALES Y SUMINISTROS</t>
  </si>
  <si>
    <t>Alimentos y productos agroforestales</t>
  </si>
  <si>
    <t>Alimentos y bebidas para personas</t>
  </si>
  <si>
    <t>Productos agroforestales y pecuarios</t>
  </si>
  <si>
    <t>Productos Agricola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</si>
  <si>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</si>
  <si>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Forestales</t>
  </si>
  <si>
    <t>TEXTILES Y VESTUARIOS</t>
  </si>
  <si>
    <t xml:space="preserve">acabado textiles                              </t>
  </si>
  <si>
    <t>Prendas de vestir</t>
  </si>
  <si>
    <t>Calzado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</si>
  <si>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</si>
  <si>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</si>
  <si>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</si>
  <si>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</si>
  <si>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</si>
  <si>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</si>
  <si>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</si>
  <si>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</si>
  <si>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</si>
  <si>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</si>
  <si>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</si>
  <si>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</si>
  <si>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</si>
  <si>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Productos ferrosos</t>
  </si>
  <si>
    <t xml:space="preserve">COMBUSTIBLE, LUBRICANTES, PRODUCTOS </t>
  </si>
  <si>
    <t>Combustibles y lubricantes</t>
  </si>
  <si>
    <t>Gasolina</t>
  </si>
  <si>
    <t>Gasoil</t>
  </si>
  <si>
    <t>Gas GLP</t>
  </si>
  <si>
    <t>Lubricantes</t>
  </si>
  <si>
    <t>Innsecticidas Fum. Y Otros</t>
  </si>
  <si>
    <t>Pinturas laca y Absorventes para pinturas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</si>
  <si>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</si>
  <si>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</si>
  <si>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</si>
  <si>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</si>
  <si>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</si>
  <si>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</si>
  <si>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 xml:space="preserve">Productos y utiles varios no identificados </t>
  </si>
  <si>
    <t>Bono para actividades diversas</t>
  </si>
  <si>
    <t>Bono para asistencia social</t>
  </si>
  <si>
    <t>TRANSFERENCIAS CORRIENTES</t>
  </si>
  <si>
    <t>TRANSFERENCIAS CORRIENTES AL SECTOR PRIVADO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</si>
  <si>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</si>
  <si>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</si>
  <si>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</si>
  <si>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</si>
  <si>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</si>
  <si>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Becas Extranjeras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</si>
  <si>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</si>
  <si>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</si>
  <si>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</si>
  <si>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</si>
  <si>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</si>
  <si>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</si>
  <si>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</si>
  <si>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Mueble de Alojamiento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</si>
  <si>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</si>
  <si>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</si>
  <si>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</si>
  <si>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</si>
  <si>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</si>
  <si>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MAQUINARIAS,  OTROS EQUIPOS Y HERRAMIENTAS</t>
  </si>
  <si>
    <t>Sistemas de aire acondicionados, calefacción y refrigeración industrial y comercial</t>
  </si>
  <si>
    <t>Equipo de generacion elect.y asesorios elect.</t>
  </si>
  <si>
    <t xml:space="preserve">otros equipo </t>
  </si>
  <si>
    <t>BIENES INTANGIBLES</t>
  </si>
  <si>
    <t>Investigación y Dearrollo (PARA EL FONIAF)</t>
  </si>
  <si>
    <t>Programas de informáticas y base de datos</t>
  </si>
  <si>
    <t xml:space="preserve">Programas de  informática </t>
  </si>
  <si>
    <t>Base de datos</t>
  </si>
  <si>
    <t>Estudios de preinversión</t>
  </si>
  <si>
    <t>Licencias informáticas e intelectuales</t>
  </si>
  <si>
    <t>Informáticas</t>
  </si>
  <si>
    <t>TOTAL GENERAL</t>
  </si>
  <si>
    <t>Año [2021]</t>
  </si>
  <si>
    <t>Presupuesto de Gastos y Aplicaciones Financieras  agosto,2021</t>
  </si>
  <si>
    <t xml:space="preserve">Ejecución  de  Gastos y Aplicaciones  Financieras  al mes de </t>
  </si>
  <si>
    <t>del  año  2020</t>
  </si>
  <si>
    <t/>
  </si>
  <si>
    <t xml:space="preserve">                  Preparado por: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</si>
  <si>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</si>
  <si>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Lic. Mayra Martínez Romero</t>
  </si>
  <si>
    <t>Otros alquileres</t>
  </si>
  <si>
    <t>Octubre</t>
  </si>
  <si>
    <t>del  año  2021</t>
  </si>
  <si>
    <t>Personal temporal en cargos de carrera</t>
  </si>
  <si>
    <t xml:space="preserve">Pasajes </t>
  </si>
  <si>
    <t>Herramientas menores</t>
  </si>
  <si>
    <t xml:space="preserve"> Otros Productos metalicos</t>
  </si>
  <si>
    <t>Productos  metálicos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</si>
  <si>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SIGEF</t>
    </r>
  </si>
  <si>
    <r>
      <t>2.</t>
    </r>
    <r>
      <rPr>
        <b/>
        <sz val="11"/>
        <color theme="1"/>
        <rFont val="Calibri"/>
        <family val="2"/>
        <scheme val="minor"/>
      </rPr>
      <t xml:space="preserve"> 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</si>
  <si>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 xml:space="preserve">1. </t>
    </r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</si>
  <si>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</t>
    </r>
  </si>
  <si>
    <t xml:space="preserve"> oportunamente contratados o en caso de gastos sin contraprestación por haberse cumplido los requisitos administrativos dispuestos por el </t>
  </si>
  <si>
    <t xml:space="preserve"> reglamento de la presente ley.</t>
  </si>
  <si>
    <t xml:space="preserve">Presupuesto de Gastos y Aplicaciones Financieras </t>
  </si>
  <si>
    <t>(Valores en RD$)</t>
  </si>
  <si>
    <t xml:space="preserve">   Lic. Cruz Dilia Agramonte Pérez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</si>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</sst>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Times New Roman"/>
      <family val="1"/>
    </font>
    <font>
      <sz val="8"/>
      <name val="Verdana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1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1" fillId="0" borderId="3" xfId="1" applyFont="1" applyBorder="1" applyAlignment="1">
      <alignment horizontal="left"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43" fontId="1" fillId="2" borderId="2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vertical="center" wrapText="1"/>
    </xf>
    <xf numFmtId="43" fontId="0" fillId="0" borderId="5" xfId="1" applyFont="1" applyBorder="1"/>
    <xf numFmtId="164" fontId="0" fillId="0" borderId="4" xfId="0" applyNumberForma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43" fontId="1" fillId="2" borderId="6" xfId="0" applyNumberFormat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43" fontId="1" fillId="0" borderId="0" xfId="1" applyFont="1" applyAlignment="1">
      <alignment vertical="center" wrapText="1"/>
    </xf>
    <xf numFmtId="43" fontId="1" fillId="0" borderId="8" xfId="1" applyFont="1" applyBorder="1" applyAlignment="1">
      <alignment horizontal="left" vertical="center" wrapText="1"/>
    </xf>
    <xf numFmtId="43" fontId="0" fillId="0" borderId="0" xfId="1" applyFont="1" applyFill="1" applyBorder="1"/>
    <xf numFmtId="2" fontId="0" fillId="0" borderId="0" xfId="0" applyNumberFormat="1"/>
    <xf numFmtId="164" fontId="0" fillId="0" borderId="0" xfId="0" applyNumberFormat="1"/>
    <xf numFmtId="43" fontId="0" fillId="0" borderId="4" xfId="0" applyNumberFormat="1" applyBorder="1" applyAlignment="1">
      <alignment vertical="center" wrapText="1"/>
    </xf>
    <xf numFmtId="43" fontId="0" fillId="0" borderId="0" xfId="1" applyFont="1" applyAlignment="1">
      <alignment vertical="center" wrapText="1"/>
    </xf>
    <xf numFmtId="0" fontId="5" fillId="0" borderId="0" xfId="0" applyFont="1"/>
    <xf numFmtId="164" fontId="6" fillId="0" borderId="3" xfId="0" applyNumberFormat="1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6" fillId="0" borderId="3" xfId="0" applyFont="1" applyBorder="1"/>
    <xf numFmtId="164" fontId="7" fillId="0" borderId="3" xfId="0" applyNumberFormat="1" applyFont="1" applyBorder="1" applyAlignment="1">
      <alignment vertical="center" wrapText="1"/>
    </xf>
    <xf numFmtId="4" fontId="0" fillId="0" borderId="0" xfId="0" applyNumberFormat="1"/>
    <xf numFmtId="0" fontId="9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vertical="center" wrapText="1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wrapText="1"/>
    </xf>
    <xf numFmtId="0" fontId="14" fillId="4" borderId="9" xfId="3" applyFont="1" applyFill="1" applyBorder="1" applyAlignment="1">
      <alignment vertical="center" wrapText="1"/>
    </xf>
    <xf numFmtId="0" fontId="8" fillId="0" borderId="0" xfId="3"/>
    <xf numFmtId="0" fontId="13" fillId="4" borderId="10" xfId="3" applyFont="1" applyFill="1" applyBorder="1" applyAlignment="1">
      <alignment vertical="center" wrapText="1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8" fillId="0" borderId="0" xfId="3" applyProtection="1">
      <protection locked="0"/>
    </xf>
    <xf numFmtId="0" fontId="16" fillId="0" borderId="0" xfId="3" applyFont="1" applyProtection="1">
      <protection locked="0"/>
    </xf>
    <xf numFmtId="0" fontId="16" fillId="0" borderId="0" xfId="3" applyFont="1" applyAlignment="1" applyProtection="1">
      <alignment horizontal="center"/>
      <protection locked="0"/>
    </xf>
    <xf numFmtId="0" fontId="14" fillId="0" borderId="0" xfId="3" applyFont="1" applyProtection="1"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8" fillId="0" borderId="0" xfId="3" applyFont="1"/>
    <xf numFmtId="0" fontId="18" fillId="0" borderId="0" xfId="3" applyFont="1" applyAlignment="1">
      <alignment horizontal="center"/>
    </xf>
    <xf numFmtId="0" fontId="11" fillId="4" borderId="14" xfId="3" applyFont="1" applyFill="1" applyBorder="1"/>
    <xf numFmtId="0" fontId="11" fillId="4" borderId="15" xfId="3" applyFont="1" applyFill="1" applyBorder="1"/>
    <xf numFmtId="0" fontId="11" fillId="4" borderId="16" xfId="3" applyFont="1" applyFill="1" applyBorder="1"/>
    <xf numFmtId="0" fontId="14" fillId="4" borderId="17" xfId="3" applyFont="1" applyFill="1" applyBorder="1" applyAlignment="1">
      <alignment horizontal="left"/>
    </xf>
    <xf numFmtId="43" fontId="14" fillId="4" borderId="17" xfId="4" applyFont="1" applyFill="1" applyBorder="1" applyProtection="1"/>
    <xf numFmtId="43" fontId="12" fillId="0" borderId="0" xfId="3" applyNumberFormat="1" applyFont="1"/>
    <xf numFmtId="0" fontId="12" fillId="0" borderId="0" xfId="3" applyFont="1"/>
    <xf numFmtId="0" fontId="13" fillId="0" borderId="0" xfId="3" applyFont="1"/>
    <xf numFmtId="0" fontId="19" fillId="0" borderId="0" xfId="3" applyFont="1"/>
    <xf numFmtId="0" fontId="19" fillId="0" borderId="0" xfId="3" applyFont="1" applyAlignment="1">
      <alignment horizontal="center"/>
    </xf>
    <xf numFmtId="0" fontId="11" fillId="5" borderId="18" xfId="3" applyFont="1" applyFill="1" applyBorder="1"/>
    <xf numFmtId="0" fontId="11" fillId="5" borderId="3" xfId="3" applyFont="1" applyFill="1" applyBorder="1"/>
    <xf numFmtId="49" fontId="11" fillId="5" borderId="19" xfId="3" applyNumberFormat="1" applyFont="1" applyFill="1" applyBorder="1"/>
    <xf numFmtId="0" fontId="14" fillId="5" borderId="20" xfId="3" applyFont="1" applyFill="1" applyBorder="1"/>
    <xf numFmtId="43" fontId="14" fillId="5" borderId="20" xfId="4" applyFont="1" applyFill="1" applyBorder="1" applyProtection="1"/>
    <xf numFmtId="0" fontId="11" fillId="0" borderId="0" xfId="3" applyFont="1"/>
    <xf numFmtId="0" fontId="12" fillId="0" borderId="18" xfId="3" applyFont="1" applyBorder="1"/>
    <xf numFmtId="0" fontId="12" fillId="0" borderId="3" xfId="3" applyFont="1" applyBorder="1"/>
    <xf numFmtId="49" fontId="12" fillId="0" borderId="19" xfId="3" applyNumberFormat="1" applyFont="1" applyBorder="1" applyAlignment="1">
      <alignment horizontal="center"/>
    </xf>
    <xf numFmtId="0" fontId="13" fillId="0" borderId="20" xfId="3" applyFont="1" applyBorder="1" applyAlignment="1">
      <alignment horizontal="left"/>
    </xf>
    <xf numFmtId="43" fontId="13" fillId="0" borderId="20" xfId="4" applyFont="1" applyFill="1" applyBorder="1"/>
    <xf numFmtId="0" fontId="13" fillId="6" borderId="20" xfId="3" applyFont="1" applyFill="1" applyBorder="1" applyAlignment="1">
      <alignment horizontal="left"/>
    </xf>
    <xf numFmtId="0" fontId="11" fillId="0" borderId="18" xfId="3" applyFont="1" applyBorder="1"/>
    <xf numFmtId="0" fontId="11" fillId="0" borderId="3" xfId="3" applyFont="1" applyBorder="1"/>
    <xf numFmtId="0" fontId="11" fillId="0" borderId="19" xfId="3" applyFont="1" applyBorder="1"/>
    <xf numFmtId="0" fontId="14" fillId="0" borderId="20" xfId="3" applyFont="1" applyBorder="1"/>
    <xf numFmtId="43" fontId="20" fillId="6" borderId="20" xfId="4" applyFont="1" applyFill="1" applyBorder="1" applyProtection="1"/>
    <xf numFmtId="43" fontId="14" fillId="0" borderId="3" xfId="5" applyNumberFormat="1" applyFont="1" applyFill="1" applyBorder="1" applyAlignment="1">
      <alignment wrapText="1"/>
    </xf>
    <xf numFmtId="43" fontId="14" fillId="7" borderId="3" xfId="5" applyNumberFormat="1" applyFont="1" applyFill="1" applyBorder="1" applyAlignment="1">
      <alignment wrapText="1"/>
    </xf>
    <xf numFmtId="43" fontId="14" fillId="0" borderId="20" xfId="4" applyFont="1" applyFill="1" applyBorder="1" applyProtection="1"/>
    <xf numFmtId="0" fontId="13" fillId="0" borderId="20" xfId="3" applyFont="1" applyBorder="1"/>
    <xf numFmtId="43" fontId="13" fillId="6" borderId="20" xfId="4" applyFont="1" applyFill="1" applyBorder="1"/>
    <xf numFmtId="49" fontId="12" fillId="5" borderId="19" xfId="3" applyNumberFormat="1" applyFont="1" applyFill="1" applyBorder="1"/>
    <xf numFmtId="43" fontId="13" fillId="5" borderId="20" xfId="4" applyFont="1" applyFill="1" applyBorder="1" applyProtection="1"/>
    <xf numFmtId="49" fontId="11" fillId="0" borderId="19" xfId="3" applyNumberFormat="1" applyFont="1" applyBorder="1"/>
    <xf numFmtId="43" fontId="14" fillId="0" borderId="20" xfId="4" applyFont="1" applyFill="1" applyBorder="1"/>
    <xf numFmtId="43" fontId="14" fillId="5" borderId="0" xfId="4" applyFont="1" applyFill="1" applyBorder="1"/>
    <xf numFmtId="43" fontId="14" fillId="5" borderId="0" xfId="4" applyFont="1" applyFill="1" applyBorder="1" applyProtection="1"/>
    <xf numFmtId="43" fontId="15" fillId="0" borderId="0" xfId="3" applyNumberFormat="1" applyFont="1"/>
    <xf numFmtId="0" fontId="12" fillId="5" borderId="3" xfId="3" applyFont="1" applyFill="1" applyBorder="1"/>
    <xf numFmtId="0" fontId="12" fillId="5" borderId="19" xfId="3" applyFont="1" applyFill="1" applyBorder="1"/>
    <xf numFmtId="0" fontId="12" fillId="0" borderId="19" xfId="3" applyFont="1" applyBorder="1"/>
    <xf numFmtId="0" fontId="14" fillId="5" borderId="20" xfId="3" applyFont="1" applyFill="1" applyBorder="1" applyAlignment="1">
      <alignment horizontal="left"/>
    </xf>
    <xf numFmtId="0" fontId="11" fillId="0" borderId="20" xfId="3" applyFont="1" applyBorder="1" applyAlignment="1">
      <alignment horizontal="left"/>
    </xf>
    <xf numFmtId="0" fontId="14" fillId="0" borderId="20" xfId="3" applyFont="1" applyBorder="1" applyAlignment="1">
      <alignment horizontal="left"/>
    </xf>
    <xf numFmtId="0" fontId="18" fillId="0" borderId="0" xfId="3" applyFont="1" applyProtection="1">
      <protection locked="0"/>
    </xf>
    <xf numFmtId="0" fontId="11" fillId="0" borderId="0" xfId="3" applyFont="1" applyProtection="1">
      <protection locked="0"/>
    </xf>
    <xf numFmtId="0" fontId="13" fillId="6" borderId="20" xfId="3" applyFont="1" applyFill="1" applyBorder="1"/>
    <xf numFmtId="0" fontId="12" fillId="7" borderId="0" xfId="3" applyFont="1" applyFill="1"/>
    <xf numFmtId="0" fontId="14" fillId="5" borderId="20" xfId="3" applyFont="1" applyFill="1" applyBorder="1" applyAlignment="1">
      <alignment vertical="center" wrapText="1"/>
    </xf>
    <xf numFmtId="0" fontId="13" fillId="0" borderId="20" xfId="3" applyFont="1" applyBorder="1" applyAlignment="1">
      <alignment wrapText="1"/>
    </xf>
    <xf numFmtId="0" fontId="16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8" fillId="0" borderId="0" xfId="3" applyFont="1" applyAlignment="1" applyProtection="1">
      <alignment horizontal="center"/>
      <protection locked="0"/>
    </xf>
    <xf numFmtId="0" fontId="12" fillId="0" borderId="0" xfId="3" applyFont="1" applyProtection="1">
      <protection locked="0"/>
    </xf>
    <xf numFmtId="43" fontId="14" fillId="5" borderId="20" xfId="4" applyFont="1" applyFill="1" applyBorder="1"/>
    <xf numFmtId="0" fontId="18" fillId="6" borderId="0" xfId="3" applyFont="1" applyFill="1"/>
    <xf numFmtId="0" fontId="14" fillId="5" borderId="20" xfId="3" applyFont="1" applyFill="1" applyBorder="1" applyAlignment="1">
      <alignment wrapText="1"/>
    </xf>
    <xf numFmtId="0" fontId="12" fillId="0" borderId="18" xfId="3" applyFont="1" applyBorder="1" applyProtection="1">
      <protection locked="0"/>
    </xf>
    <xf numFmtId="0" fontId="12" fillId="0" borderId="3" xfId="3" applyFont="1" applyBorder="1" applyProtection="1">
      <protection locked="0"/>
    </xf>
    <xf numFmtId="49" fontId="12" fillId="0" borderId="19" xfId="3" applyNumberFormat="1" applyFont="1" applyBorder="1" applyAlignment="1" applyProtection="1">
      <alignment horizontal="center"/>
      <protection locked="0"/>
    </xf>
    <xf numFmtId="0" fontId="19" fillId="0" borderId="0" xfId="3" applyFont="1" applyAlignment="1" applyProtection="1">
      <alignment horizontal="center"/>
      <protection locked="0"/>
    </xf>
    <xf numFmtId="0" fontId="11" fillId="0" borderId="18" xfId="3" applyFont="1" applyBorder="1" applyProtection="1">
      <protection locked="0"/>
    </xf>
    <xf numFmtId="0" fontId="11" fillId="0" borderId="3" xfId="3" applyFont="1" applyBorder="1" applyProtection="1">
      <protection locked="0"/>
    </xf>
    <xf numFmtId="0" fontId="11" fillId="0" borderId="19" xfId="3" applyFont="1" applyBorder="1" applyProtection="1">
      <protection locked="0"/>
    </xf>
    <xf numFmtId="0" fontId="12" fillId="0" borderId="20" xfId="3" applyFont="1" applyBorder="1" applyProtection="1">
      <protection locked="0"/>
    </xf>
    <xf numFmtId="0" fontId="14" fillId="6" borderId="20" xfId="3" applyFont="1" applyFill="1" applyBorder="1"/>
    <xf numFmtId="0" fontId="12" fillId="6" borderId="20" xfId="3" applyFont="1" applyFill="1" applyBorder="1" applyProtection="1">
      <protection locked="0"/>
    </xf>
    <xf numFmtId="0" fontId="11" fillId="0" borderId="20" xfId="3" applyFont="1" applyBorder="1" applyProtection="1">
      <protection locked="0"/>
    </xf>
    <xf numFmtId="0" fontId="14" fillId="5" borderId="21" xfId="3" applyFont="1" applyFill="1" applyBorder="1" applyAlignment="1">
      <alignment wrapText="1"/>
    </xf>
    <xf numFmtId="43" fontId="14" fillId="5" borderId="3" xfId="4" applyFont="1" applyFill="1" applyBorder="1"/>
    <xf numFmtId="0" fontId="14" fillId="5" borderId="21" xfId="3" applyFont="1" applyFill="1" applyBorder="1"/>
    <xf numFmtId="0" fontId="11" fillId="0" borderId="20" xfId="3" applyFont="1" applyBorder="1" applyAlignment="1" applyProtection="1">
      <alignment wrapText="1"/>
      <protection locked="0"/>
    </xf>
    <xf numFmtId="0" fontId="14" fillId="0" borderId="20" xfId="3" applyFont="1" applyBorder="1" applyAlignment="1">
      <alignment wrapText="1"/>
    </xf>
    <xf numFmtId="0" fontId="11" fillId="6" borderId="0" xfId="3" applyFont="1" applyFill="1"/>
    <xf numFmtId="0" fontId="11" fillId="5" borderId="19" xfId="3" applyFont="1" applyFill="1" applyBorder="1"/>
    <xf numFmtId="39" fontId="11" fillId="0" borderId="0" xfId="4" applyNumberFormat="1" applyFont="1" applyFill="1" applyBorder="1" applyProtection="1">
      <protection locked="0"/>
    </xf>
    <xf numFmtId="0" fontId="11" fillId="8" borderId="17" xfId="3" applyFont="1" applyFill="1" applyBorder="1" applyAlignment="1" applyProtection="1">
      <alignment horizontal="center"/>
      <protection locked="0"/>
    </xf>
    <xf numFmtId="165" fontId="14" fillId="8" borderId="17" xfId="3" applyNumberFormat="1" applyFont="1" applyFill="1" applyBorder="1"/>
    <xf numFmtId="43" fontId="1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3" fillId="0" borderId="0" xfId="3" applyFont="1" applyProtection="1">
      <protection locked="0"/>
    </xf>
    <xf numFmtId="0" fontId="21" fillId="0" borderId="0" xfId="3" applyFont="1" applyProtection="1">
      <protection locked="0"/>
    </xf>
    <xf numFmtId="0" fontId="21" fillId="0" borderId="0" xfId="3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right"/>
      <protection locked="0"/>
    </xf>
    <xf numFmtId="43" fontId="13" fillId="0" borderId="0" xfId="3" applyNumberFormat="1" applyFont="1" applyProtection="1">
      <protection locked="0"/>
    </xf>
    <xf numFmtId="0" fontId="13" fillId="0" borderId="0" xfId="3" applyFont="1" applyAlignment="1" applyProtection="1">
      <alignment horizontal="center"/>
      <protection locked="0"/>
    </xf>
    <xf numFmtId="43" fontId="13" fillId="0" borderId="0" xfId="3" applyNumberFormat="1" applyFont="1"/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0" fontId="22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0" fontId="22" fillId="0" borderId="0" xfId="3" applyFont="1"/>
    <xf numFmtId="0" fontId="8" fillId="0" borderId="0" xfId="3" applyAlignment="1" applyProtection="1">
      <alignment horizontal="center"/>
      <protection locked="0"/>
    </xf>
    <xf numFmtId="43" fontId="5" fillId="0" borderId="0" xfId="1" applyFont="1"/>
    <xf numFmtId="164" fontId="23" fillId="3" borderId="0" xfId="0" applyNumberFormat="1" applyFont="1" applyFill="1" applyAlignment="1">
      <alignment horizontal="center" vertical="center" wrapText="1"/>
    </xf>
    <xf numFmtId="0" fontId="17" fillId="0" borderId="0" xfId="3" applyFont="1"/>
    <xf numFmtId="0" fontId="24" fillId="0" borderId="0" xfId="3" applyFont="1"/>
    <xf numFmtId="43" fontId="24" fillId="0" borderId="0" xfId="3" applyNumberFormat="1" applyFont="1"/>
    <xf numFmtId="43" fontId="17" fillId="0" borderId="0" xfId="3" applyNumberFormat="1" applyFont="1"/>
    <xf numFmtId="43" fontId="14" fillId="6" borderId="20" xfId="4" applyFont="1" applyFill="1" applyBorder="1" applyProtection="1"/>
    <xf numFmtId="43" fontId="24" fillId="6" borderId="20" xfId="4" applyFont="1" applyFill="1" applyBorder="1"/>
    <xf numFmtId="43" fontId="14" fillId="6" borderId="17" xfId="4" applyFont="1" applyFill="1" applyBorder="1" applyProtection="1"/>
    <xf numFmtId="43" fontId="20" fillId="5" borderId="20" xfId="4" applyFont="1" applyFill="1" applyBorder="1" applyProtection="1"/>
    <xf numFmtId="43" fontId="18" fillId="0" borderId="0" xfId="1" applyFont="1" applyAlignment="1" applyProtection="1">
      <alignment horizontal="center"/>
      <protection locked="0"/>
    </xf>
    <xf numFmtId="43" fontId="12" fillId="0" borderId="0" xfId="1" applyFont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/>
    <xf numFmtId="9" fontId="6" fillId="0" borderId="0" xfId="2" applyFont="1"/>
    <xf numFmtId="0" fontId="6" fillId="0" borderId="0" xfId="0" applyFont="1" applyAlignment="1">
      <alignment horizontal="left" vertical="center" wrapText="1" indent="2"/>
    </xf>
    <xf numFmtId="43" fontId="6" fillId="0" borderId="0" xfId="1" applyFont="1" applyBorder="1" applyAlignment="1">
      <alignment vertical="center" wrapText="1"/>
    </xf>
    <xf numFmtId="43" fontId="6" fillId="0" borderId="0" xfId="1" applyFont="1" applyFill="1" applyBorder="1"/>
    <xf numFmtId="164" fontId="7" fillId="0" borderId="0" xfId="0" applyNumberFormat="1" applyFont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vertical="center" wrapText="1"/>
    </xf>
    <xf numFmtId="43" fontId="1" fillId="0" borderId="0" xfId="1" applyFont="1" applyBorder="1" applyAlignment="1">
      <alignment horizontal="left" vertical="center" wrapText="1"/>
    </xf>
    <xf numFmtId="43" fontId="23" fillId="0" borderId="0" xfId="1" applyFont="1" applyBorder="1" applyAlignment="1">
      <alignment horizontal="left" vertical="center" wrapText="1"/>
    </xf>
    <xf numFmtId="43" fontId="7" fillId="0" borderId="25" xfId="1" applyFont="1" applyBorder="1" applyAlignment="1">
      <alignment vertical="center" wrapText="1"/>
    </xf>
    <xf numFmtId="43" fontId="7" fillId="0" borderId="26" xfId="1" applyFont="1" applyBorder="1" applyAlignment="1">
      <alignment vertical="center" wrapText="1"/>
    </xf>
    <xf numFmtId="43" fontId="7" fillId="0" borderId="27" xfId="1" applyFont="1" applyBorder="1" applyAlignment="1">
      <alignment vertical="center" wrapText="1"/>
    </xf>
    <xf numFmtId="43" fontId="6" fillId="0" borderId="28" xfId="1" applyFont="1" applyBorder="1" applyAlignment="1">
      <alignment vertical="center" wrapText="1"/>
    </xf>
    <xf numFmtId="43" fontId="6" fillId="0" borderId="0" xfId="1" applyFont="1" applyBorder="1"/>
    <xf numFmtId="43" fontId="6" fillId="0" borderId="29" xfId="1" applyFont="1" applyBorder="1"/>
    <xf numFmtId="164" fontId="6" fillId="0" borderId="28" xfId="0" applyNumberFormat="1" applyFont="1" applyBorder="1" applyAlignment="1">
      <alignment vertical="center" wrapText="1"/>
    </xf>
    <xf numFmtId="0" fontId="6" fillId="0" borderId="0" xfId="0" applyFont="1" applyBorder="1"/>
    <xf numFmtId="43" fontId="7" fillId="0" borderId="28" xfId="1" applyFont="1" applyBorder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29" xfId="1" applyFont="1" applyBorder="1" applyAlignment="1">
      <alignment vertical="center" wrapText="1"/>
    </xf>
    <xf numFmtId="43" fontId="6" fillId="0" borderId="28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29" xfId="0" applyNumberFormat="1" applyFont="1" applyBorder="1" applyAlignment="1">
      <alignment vertical="center" wrapText="1"/>
    </xf>
    <xf numFmtId="43" fontId="7" fillId="2" borderId="30" xfId="0" applyNumberFormat="1" applyFont="1" applyFill="1" applyBorder="1" applyAlignment="1">
      <alignment horizontal="center" vertical="center" wrapText="1"/>
    </xf>
    <xf numFmtId="43" fontId="7" fillId="2" borderId="31" xfId="0" applyNumberFormat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43" fontId="7" fillId="2" borderId="33" xfId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9" fillId="9" borderId="0" xfId="0" applyFont="1" applyFill="1"/>
    <xf numFmtId="0" fontId="27" fillId="0" borderId="0" xfId="0" applyFont="1" applyAlignment="1">
      <alignment horizontal="center" vertical="center" wrapText="1"/>
    </xf>
    <xf numFmtId="43" fontId="12" fillId="0" borderId="0" xfId="3" applyNumberFormat="1" applyFont="1" applyProtection="1"/>
    <xf numFmtId="0" fontId="29" fillId="0" borderId="0" xfId="0" applyFont="1"/>
    <xf numFmtId="0" fontId="29" fillId="0" borderId="0" xfId="0" applyFont="1" applyAlignment="1">
      <alignment horizontal="center"/>
    </xf>
    <xf numFmtId="43" fontId="13" fillId="0" borderId="0" xfId="1" applyFont="1" applyProtection="1">
      <protection locked="0"/>
    </xf>
    <xf numFmtId="43" fontId="13" fillId="0" borderId="0" xfId="1" applyFont="1"/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7" fillId="3" borderId="0" xfId="0" applyFont="1" applyFill="1" applyAlignment="1" applyProtection="1">
      <alignment vertical="center" wrapText="1"/>
      <protection locked="0"/>
    </xf>
    <xf numFmtId="0" fontId="27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3" fontId="6" fillId="0" borderId="0" xfId="1" applyFont="1" applyProtection="1">
      <protection locked="0"/>
    </xf>
    <xf numFmtId="9" fontId="6" fillId="0" borderId="0" xfId="2" applyFont="1" applyProtection="1">
      <protection locked="0"/>
    </xf>
    <xf numFmtId="43" fontId="7" fillId="0" borderId="28" xfId="1" applyFont="1" applyBorder="1" applyAlignment="1" applyProtection="1">
      <alignment vertical="center" wrapText="1"/>
      <protection locked="0"/>
    </xf>
    <xf numFmtId="43" fontId="7" fillId="0" borderId="0" xfId="1" applyFont="1" applyBorder="1" applyAlignment="1" applyProtection="1">
      <alignment vertical="center" wrapText="1"/>
      <protection locked="0"/>
    </xf>
    <xf numFmtId="164" fontId="7" fillId="0" borderId="28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 locked="0"/>
    </xf>
    <xf numFmtId="164" fontId="7" fillId="0" borderId="0" xfId="0" applyNumberFormat="1" applyFont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vertical="center" wrapText="1"/>
      <protection locked="0"/>
    </xf>
    <xf numFmtId="43" fontId="5" fillId="0" borderId="0" xfId="1" applyFont="1" applyProtection="1"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164" fontId="1" fillId="3" borderId="0" xfId="0" applyNumberFormat="1" applyFont="1" applyFill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0" xfId="0" applyNumberFormat="1" applyFont="1" applyFill="1" applyAlignment="1" applyProtection="1">
      <alignment horizontal="center" vertical="center" wrapText="1"/>
      <protection locked="0"/>
    </xf>
    <xf numFmtId="4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29" fillId="9" borderId="0" xfId="0" applyFont="1" applyFill="1" applyProtection="1">
      <protection locked="0"/>
    </xf>
    <xf numFmtId="0" fontId="27" fillId="0" borderId="0" xfId="0" applyFont="1" applyAlignment="1" applyProtection="1">
      <alignment horizontal="center" vertical="center" wrapText="1"/>
      <protection hidden="1"/>
    </xf>
    <xf numFmtId="43" fontId="6" fillId="0" borderId="0" xfId="0" applyNumberFormat="1" applyFont="1" applyProtection="1">
      <protection hidden="1"/>
    </xf>
    <xf numFmtId="43" fontId="7" fillId="0" borderId="25" xfId="1" applyFont="1" applyBorder="1" applyAlignment="1" applyProtection="1">
      <alignment vertical="center" wrapText="1"/>
      <protection hidden="1"/>
    </xf>
    <xf numFmtId="43" fontId="7" fillId="0" borderId="26" xfId="1" applyFont="1" applyBorder="1" applyAlignment="1" applyProtection="1">
      <alignment vertical="center" wrapText="1"/>
      <protection hidden="1"/>
    </xf>
    <xf numFmtId="43" fontId="6" fillId="0" borderId="0" xfId="1" applyFont="1" applyBorder="1" applyProtection="1">
      <protection hidden="1"/>
    </xf>
    <xf numFmtId="43" fontId="6" fillId="0" borderId="0" xfId="1" applyFont="1" applyBorder="1" applyAlignment="1" applyProtection="1">
      <alignment vertical="center" wrapText="1"/>
      <protection hidden="1"/>
    </xf>
    <xf numFmtId="43" fontId="7" fillId="0" borderId="0" xfId="1" applyFont="1" applyBorder="1" applyAlignment="1" applyProtection="1">
      <alignment vertical="center" wrapText="1"/>
      <protection hidden="1"/>
    </xf>
    <xf numFmtId="43" fontId="7" fillId="0" borderId="28" xfId="1" applyFont="1" applyBorder="1" applyAlignment="1" applyProtection="1">
      <alignment vertical="center" wrapText="1"/>
      <protection hidden="1"/>
    </xf>
    <xf numFmtId="164" fontId="7" fillId="0" borderId="28" xfId="0" applyNumberFormat="1" applyFont="1" applyBorder="1" applyAlignment="1" applyProtection="1">
      <alignment vertical="center" wrapText="1"/>
      <protection hidden="1"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43" fontId="7" fillId="0" borderId="27" xfId="1" applyFont="1" applyBorder="1" applyAlignment="1" applyProtection="1">
      <alignment vertical="center" wrapText="1"/>
      <protection hidden="1"/>
    </xf>
    <xf numFmtId="43" fontId="6" fillId="0" borderId="29" xfId="1" applyFont="1" applyBorder="1" applyProtection="1">
      <protection hidden="1"/>
    </xf>
    <xf numFmtId="43" fontId="7" fillId="0" borderId="29" xfId="1" applyFont="1" applyBorder="1" applyAlignment="1" applyProtection="1">
      <alignment vertical="center" wrapText="1"/>
      <protection hidden="1"/>
    </xf>
    <xf numFmtId="164" fontId="7" fillId="0" borderId="29" xfId="0" applyNumberFormat="1" applyFont="1" applyBorder="1" applyAlignment="1" applyProtection="1">
      <alignment vertical="center" wrapText="1"/>
      <protection hidden="1"/>
    </xf>
    <xf numFmtId="0" fontId="29" fillId="9" borderId="0" xfId="0" applyFont="1" applyFill="1" applyProtection="1">
      <protection hidden="1"/>
    </xf>
    <xf numFmtId="0" fontId="3" fillId="0" borderId="0" xfId="0" applyFont="1" applyAlignment="1">
      <alignment horizontal="center" vertical="center" wrapText="1"/>
    </xf>
    <xf numFmtId="0" fontId="11" fillId="0" borderId="0" xfId="3" applyFont="1" applyAlignment="1" applyProtection="1">
      <alignment vertical="center" wrapText="1"/>
      <protection locked="0"/>
    </xf>
    <xf numFmtId="0" fontId="12" fillId="0" borderId="0" xfId="3" applyFont="1" applyAlignment="1" applyProtection="1">
      <alignment wrapText="1"/>
      <protection locked="0"/>
    </xf>
    <xf numFmtId="0" fontId="12" fillId="0" borderId="0" xfId="3" applyFont="1" applyAlignment="1" applyProtection="1">
      <alignment horizontal="center" wrapText="1"/>
      <protection locked="0"/>
    </xf>
    <xf numFmtId="0" fontId="13" fillId="0" borderId="0" xfId="3" applyFont="1" applyAlignment="1" applyProtection="1">
      <alignment wrapText="1"/>
      <protection locked="0"/>
    </xf>
    <xf numFmtId="0" fontId="14" fillId="4" borderId="9" xfId="3" applyFont="1" applyFill="1" applyBorder="1" applyAlignment="1" applyProtection="1">
      <alignment vertical="center" wrapText="1"/>
      <protection locked="0"/>
    </xf>
    <xf numFmtId="0" fontId="9" fillId="7" borderId="0" xfId="3" applyFont="1" applyFill="1" applyProtection="1">
      <protection locked="0"/>
    </xf>
    <xf numFmtId="0" fontId="13" fillId="4" borderId="10" xfId="3" applyFont="1" applyFill="1" applyBorder="1" applyAlignment="1" applyProtection="1">
      <alignment vertical="center" wrapText="1"/>
      <protection locked="0"/>
    </xf>
    <xf numFmtId="0" fontId="16" fillId="7" borderId="0" xfId="3" applyFont="1" applyFill="1" applyProtection="1">
      <protection locked="0"/>
    </xf>
    <xf numFmtId="0" fontId="16" fillId="10" borderId="0" xfId="3" applyFont="1" applyFill="1" applyAlignment="1" applyProtection="1">
      <alignment horizontal="center" vertical="center"/>
      <protection locked="0"/>
    </xf>
    <xf numFmtId="0" fontId="11" fillId="10" borderId="14" xfId="3" applyFont="1" applyFill="1" applyBorder="1" applyProtection="1">
      <protection locked="0"/>
    </xf>
    <xf numFmtId="0" fontId="11" fillId="10" borderId="15" xfId="3" applyFont="1" applyFill="1" applyBorder="1" applyProtection="1">
      <protection locked="0"/>
    </xf>
    <xf numFmtId="0" fontId="11" fillId="10" borderId="16" xfId="3" applyFont="1" applyFill="1" applyBorder="1" applyProtection="1">
      <protection locked="0"/>
    </xf>
    <xf numFmtId="0" fontId="14" fillId="10" borderId="17" xfId="3" applyFont="1" applyFill="1" applyBorder="1" applyAlignment="1" applyProtection="1">
      <alignment horizontal="left"/>
      <protection locked="0"/>
    </xf>
    <xf numFmtId="164" fontId="14" fillId="10" borderId="17" xfId="4" applyNumberFormat="1" applyFont="1" applyFill="1" applyBorder="1" applyProtection="1"/>
    <xf numFmtId="164" fontId="18" fillId="7" borderId="0" xfId="3" applyNumberFormat="1" applyFont="1" applyFill="1" applyProtection="1">
      <protection locked="0"/>
    </xf>
    <xf numFmtId="4" fontId="12" fillId="0" borderId="0" xfId="3" applyNumberFormat="1" applyFont="1" applyProtection="1">
      <protection locked="0"/>
    </xf>
    <xf numFmtId="0" fontId="17" fillId="0" borderId="0" xfId="3" applyFont="1" applyProtection="1">
      <protection locked="0"/>
    </xf>
    <xf numFmtId="0" fontId="24" fillId="0" borderId="0" xfId="3" applyFont="1" applyProtection="1">
      <protection locked="0"/>
    </xf>
    <xf numFmtId="164" fontId="24" fillId="0" borderId="0" xfId="3" applyNumberFormat="1" applyFont="1" applyProtection="1">
      <protection locked="0"/>
    </xf>
    <xf numFmtId="164" fontId="24" fillId="0" borderId="0" xfId="3" applyNumberFormat="1" applyFont="1"/>
    <xf numFmtId="164" fontId="13" fillId="0" borderId="0" xfId="3" applyNumberFormat="1" applyFont="1"/>
    <xf numFmtId="164" fontId="13" fillId="0" borderId="0" xfId="3" applyNumberFormat="1" applyFont="1" applyProtection="1">
      <protection locked="0"/>
    </xf>
    <xf numFmtId="43" fontId="18" fillId="7" borderId="0" xfId="3" applyNumberFormat="1" applyFont="1" applyFill="1" applyProtection="1">
      <protection locked="0"/>
    </xf>
    <xf numFmtId="0" fontId="19" fillId="0" borderId="0" xfId="3" applyFont="1" applyProtection="1">
      <protection locked="0"/>
    </xf>
    <xf numFmtId="0" fontId="11" fillId="11" borderId="18" xfId="3" applyFont="1" applyFill="1" applyBorder="1" applyProtection="1">
      <protection locked="0"/>
    </xf>
    <xf numFmtId="0" fontId="11" fillId="11" borderId="3" xfId="3" applyFont="1" applyFill="1" applyBorder="1" applyProtection="1">
      <protection locked="0"/>
    </xf>
    <xf numFmtId="49" fontId="11" fillId="11" borderId="19" xfId="3" applyNumberFormat="1" applyFont="1" applyFill="1" applyBorder="1" applyProtection="1">
      <protection locked="0"/>
    </xf>
    <xf numFmtId="0" fontId="14" fillId="11" borderId="20" xfId="3" applyFont="1" applyFill="1" applyBorder="1" applyProtection="1">
      <protection locked="0"/>
    </xf>
    <xf numFmtId="164" fontId="14" fillId="11" borderId="20" xfId="4" applyNumberFormat="1" applyFont="1" applyFill="1" applyBorder="1" applyProtection="1"/>
    <xf numFmtId="4" fontId="11" fillId="0" borderId="0" xfId="3" applyNumberFormat="1" applyFont="1" applyProtection="1">
      <protection locked="0"/>
    </xf>
    <xf numFmtId="0" fontId="13" fillId="0" borderId="20" xfId="3" applyFont="1" applyBorder="1" applyAlignment="1" applyProtection="1">
      <alignment horizontal="left"/>
      <protection locked="0"/>
    </xf>
    <xf numFmtId="164" fontId="13" fillId="0" borderId="20" xfId="4" applyNumberFormat="1" applyFont="1" applyFill="1" applyBorder="1" applyProtection="1">
      <protection locked="0"/>
    </xf>
    <xf numFmtId="164" fontId="13" fillId="0" borderId="20" xfId="4" applyNumberFormat="1" applyFont="1" applyFill="1" applyBorder="1" applyProtection="1"/>
    <xf numFmtId="164" fontId="24" fillId="0" borderId="20" xfId="4" applyNumberFormat="1" applyFont="1" applyFill="1" applyBorder="1" applyProtection="1">
      <protection locked="0"/>
    </xf>
    <xf numFmtId="0" fontId="14" fillId="0" borderId="20" xfId="3" applyFont="1" applyBorder="1" applyProtection="1">
      <protection locked="0"/>
    </xf>
    <xf numFmtId="164" fontId="14" fillId="0" borderId="20" xfId="4" applyNumberFormat="1" applyFont="1" applyFill="1" applyBorder="1" applyProtection="1">
      <protection locked="0"/>
    </xf>
    <xf numFmtId="164" fontId="14" fillId="0" borderId="3" xfId="5" applyNumberFormat="1" applyFont="1" applyFill="1" applyBorder="1" applyAlignment="1" applyProtection="1">
      <alignment wrapText="1"/>
      <protection locked="0"/>
    </xf>
    <xf numFmtId="164" fontId="14" fillId="7" borderId="3" xfId="5" applyNumberFormat="1" applyFont="1" applyFill="1" applyBorder="1" applyAlignment="1" applyProtection="1">
      <alignment wrapText="1"/>
      <protection locked="0"/>
    </xf>
    <xf numFmtId="0" fontId="13" fillId="0" borderId="20" xfId="3" applyFont="1" applyBorder="1" applyProtection="1">
      <protection locked="0"/>
    </xf>
    <xf numFmtId="49" fontId="12" fillId="11" borderId="19" xfId="3" applyNumberFormat="1" applyFont="1" applyFill="1" applyBorder="1" applyProtection="1">
      <protection locked="0"/>
    </xf>
    <xf numFmtId="164" fontId="14" fillId="11" borderId="20" xfId="4" applyNumberFormat="1" applyFont="1" applyFill="1" applyBorder="1" applyProtection="1">
      <protection locked="0"/>
    </xf>
    <xf numFmtId="164" fontId="13" fillId="11" borderId="20" xfId="4" applyNumberFormat="1" applyFont="1" applyFill="1" applyBorder="1" applyProtection="1"/>
    <xf numFmtId="49" fontId="11" fillId="0" borderId="19" xfId="3" applyNumberFormat="1" applyFont="1" applyBorder="1" applyProtection="1">
      <protection locked="0"/>
    </xf>
    <xf numFmtId="0" fontId="11" fillId="5" borderId="18" xfId="3" applyFont="1" applyFill="1" applyBorder="1" applyProtection="1">
      <protection locked="0"/>
    </xf>
    <xf numFmtId="0" fontId="11" fillId="5" borderId="3" xfId="3" applyFont="1" applyFill="1" applyBorder="1" applyProtection="1">
      <protection locked="0"/>
    </xf>
    <xf numFmtId="49" fontId="11" fillId="5" borderId="19" xfId="3" applyNumberFormat="1" applyFont="1" applyFill="1" applyBorder="1" applyProtection="1">
      <protection locked="0"/>
    </xf>
    <xf numFmtId="0" fontId="14" fillId="5" borderId="20" xfId="3" applyFont="1" applyFill="1" applyBorder="1" applyProtection="1">
      <protection locked="0"/>
    </xf>
    <xf numFmtId="43" fontId="14" fillId="5" borderId="20" xfId="4" applyFont="1" applyFill="1" applyBorder="1" applyProtection="1">
      <protection locked="0"/>
    </xf>
    <xf numFmtId="43" fontId="14" fillId="5" borderId="0" xfId="4" applyFont="1" applyFill="1" applyBorder="1" applyProtection="1">
      <protection locked="0"/>
    </xf>
    <xf numFmtId="43" fontId="15" fillId="0" borderId="0" xfId="3" applyNumberFormat="1" applyFont="1" applyProtection="1">
      <protection locked="0"/>
    </xf>
    <xf numFmtId="0" fontId="11" fillId="12" borderId="14" xfId="3" applyFont="1" applyFill="1" applyBorder="1" applyProtection="1">
      <protection locked="0"/>
    </xf>
    <xf numFmtId="0" fontId="11" fillId="12" borderId="15" xfId="3" applyFont="1" applyFill="1" applyBorder="1" applyProtection="1">
      <protection locked="0"/>
    </xf>
    <xf numFmtId="0" fontId="11" fillId="12" borderId="16" xfId="3" applyFont="1" applyFill="1" applyBorder="1" applyProtection="1">
      <protection locked="0"/>
    </xf>
    <xf numFmtId="0" fontId="14" fillId="12" borderId="17" xfId="3" applyFont="1" applyFill="1" applyBorder="1" applyAlignment="1" applyProtection="1">
      <alignment horizontal="left"/>
      <protection locked="0"/>
    </xf>
    <xf numFmtId="164" fontId="14" fillId="12" borderId="17" xfId="4" applyNumberFormat="1" applyFont="1" applyFill="1" applyBorder="1" applyProtection="1"/>
    <xf numFmtId="0" fontId="12" fillId="11" borderId="3" xfId="3" applyFont="1" applyFill="1" applyBorder="1" applyProtection="1">
      <protection locked="0"/>
    </xf>
    <xf numFmtId="0" fontId="12" fillId="11" borderId="19" xfId="3" applyFont="1" applyFill="1" applyBorder="1" applyProtection="1">
      <protection locked="0"/>
    </xf>
    <xf numFmtId="0" fontId="12" fillId="0" borderId="19" xfId="3" applyFont="1" applyBorder="1" applyProtection="1">
      <protection locked="0"/>
    </xf>
    <xf numFmtId="164" fontId="13" fillId="6" borderId="20" xfId="4" applyNumberFormat="1" applyFont="1" applyFill="1" applyBorder="1" applyProtection="1">
      <protection locked="0"/>
    </xf>
    <xf numFmtId="0" fontId="14" fillId="11" borderId="20" xfId="3" applyFont="1" applyFill="1" applyBorder="1" applyAlignment="1" applyProtection="1">
      <alignment horizontal="left"/>
      <protection locked="0"/>
    </xf>
    <xf numFmtId="0" fontId="11" fillId="0" borderId="20" xfId="3" applyFont="1" applyBorder="1" applyAlignment="1" applyProtection="1">
      <alignment horizontal="left"/>
      <protection locked="0"/>
    </xf>
    <xf numFmtId="0" fontId="14" fillId="0" borderId="20" xfId="3" applyFont="1" applyBorder="1" applyAlignment="1" applyProtection="1">
      <alignment horizontal="left"/>
      <protection locked="0"/>
    </xf>
    <xf numFmtId="164" fontId="11" fillId="0" borderId="0" xfId="3" applyNumberFormat="1" applyFont="1" applyProtection="1">
      <protection locked="0"/>
    </xf>
    <xf numFmtId="0" fontId="12" fillId="7" borderId="0" xfId="3" applyFont="1" applyFill="1" applyProtection="1">
      <protection locked="0"/>
    </xf>
    <xf numFmtId="0" fontId="14" fillId="11" borderId="20" xfId="3" applyFont="1" applyFill="1" applyBorder="1" applyAlignment="1" applyProtection="1">
      <alignment vertical="center" wrapText="1"/>
      <protection locked="0"/>
    </xf>
    <xf numFmtId="0" fontId="13" fillId="0" borderId="20" xfId="3" applyFont="1" applyBorder="1" applyAlignment="1" applyProtection="1">
      <alignment wrapText="1"/>
      <protection locked="0"/>
    </xf>
    <xf numFmtId="0" fontId="18" fillId="6" borderId="0" xfId="3" applyFont="1" applyFill="1" applyProtection="1">
      <protection locked="0"/>
    </xf>
    <xf numFmtId="0" fontId="14" fillId="11" borderId="20" xfId="3" applyFont="1" applyFill="1" applyBorder="1" applyAlignment="1" applyProtection="1">
      <alignment wrapText="1"/>
      <protection locked="0"/>
    </xf>
    <xf numFmtId="0" fontId="11" fillId="6" borderId="18" xfId="3" applyFont="1" applyFill="1" applyBorder="1" applyProtection="1">
      <protection locked="0"/>
    </xf>
    <xf numFmtId="0" fontId="11" fillId="6" borderId="3" xfId="3" applyFont="1" applyFill="1" applyBorder="1" applyProtection="1">
      <protection locked="0"/>
    </xf>
    <xf numFmtId="0" fontId="12" fillId="6" borderId="19" xfId="3" applyFont="1" applyFill="1" applyBorder="1" applyProtection="1">
      <protection locked="0"/>
    </xf>
    <xf numFmtId="0" fontId="14" fillId="6" borderId="20" xfId="3" applyFont="1" applyFill="1" applyBorder="1" applyAlignment="1" applyProtection="1">
      <alignment wrapText="1"/>
      <protection locked="0"/>
    </xf>
    <xf numFmtId="164" fontId="14" fillId="6" borderId="20" xfId="4" applyNumberFormat="1" applyFont="1" applyFill="1" applyBorder="1" applyProtection="1">
      <protection locked="0"/>
    </xf>
    <xf numFmtId="164" fontId="14" fillId="6" borderId="20" xfId="4" applyNumberFormat="1" applyFont="1" applyFill="1" applyBorder="1" applyProtection="1"/>
    <xf numFmtId="0" fontId="12" fillId="6" borderId="0" xfId="3" applyFont="1" applyFill="1" applyProtection="1">
      <protection locked="0"/>
    </xf>
    <xf numFmtId="0" fontId="14" fillId="6" borderId="20" xfId="3" applyFont="1" applyFill="1" applyBorder="1" applyProtection="1">
      <protection locked="0"/>
    </xf>
    <xf numFmtId="164" fontId="14" fillId="5" borderId="20" xfId="4" applyNumberFormat="1" applyFont="1" applyFill="1" applyBorder="1" applyProtection="1"/>
    <xf numFmtId="164" fontId="24" fillId="6" borderId="20" xfId="4" applyNumberFormat="1" applyFont="1" applyFill="1" applyBorder="1" applyProtection="1">
      <protection locked="0"/>
    </xf>
    <xf numFmtId="164" fontId="14" fillId="12" borderId="17" xfId="4" applyNumberFormat="1" applyFont="1" applyFill="1" applyBorder="1" applyProtection="1">
      <protection locked="0"/>
    </xf>
    <xf numFmtId="0" fontId="14" fillId="11" borderId="21" xfId="3" applyFont="1" applyFill="1" applyBorder="1" applyAlignment="1" applyProtection="1">
      <alignment wrapText="1"/>
      <protection locked="0"/>
    </xf>
    <xf numFmtId="164" fontId="14" fillId="11" borderId="3" xfId="4" applyNumberFormat="1" applyFont="1" applyFill="1" applyBorder="1" applyProtection="1"/>
    <xf numFmtId="0" fontId="14" fillId="11" borderId="21" xfId="3" applyFont="1" applyFill="1" applyBorder="1" applyProtection="1">
      <protection locked="0"/>
    </xf>
    <xf numFmtId="0" fontId="14" fillId="0" borderId="20" xfId="3" applyFont="1" applyBorder="1" applyAlignment="1" applyProtection="1">
      <alignment wrapText="1"/>
      <protection locked="0"/>
    </xf>
    <xf numFmtId="0" fontId="11" fillId="11" borderId="19" xfId="3" applyFont="1" applyFill="1" applyBorder="1" applyProtection="1">
      <protection locked="0"/>
    </xf>
    <xf numFmtId="164" fontId="11" fillId="0" borderId="0" xfId="4" applyNumberFormat="1" applyFont="1" applyFill="1" applyBorder="1" applyProtection="1">
      <protection locked="0"/>
    </xf>
    <xf numFmtId="0" fontId="11" fillId="12" borderId="17" xfId="3" applyFont="1" applyFill="1" applyBorder="1" applyAlignment="1" applyProtection="1">
      <alignment horizontal="center"/>
      <protection locked="0"/>
    </xf>
    <xf numFmtId="164" fontId="14" fillId="12" borderId="17" xfId="3" applyNumberFormat="1" applyFont="1" applyFill="1" applyBorder="1"/>
    <xf numFmtId="164" fontId="12" fillId="0" borderId="0" xfId="3" applyNumberFormat="1" applyFont="1" applyProtection="1">
      <protection locked="0"/>
    </xf>
    <xf numFmtId="0" fontId="18" fillId="7" borderId="0" xfId="3" applyFont="1" applyFill="1" applyProtection="1">
      <protection locked="0"/>
    </xf>
    <xf numFmtId="43" fontId="17" fillId="0" borderId="0" xfId="1" applyFont="1" applyAlignment="1" applyProtection="1">
      <alignment horizontal="center"/>
      <protection locked="0"/>
    </xf>
    <xf numFmtId="164" fontId="17" fillId="0" borderId="0" xfId="1" applyNumberFormat="1" applyFont="1" applyAlignment="1" applyProtection="1">
      <alignment horizontal="center"/>
      <protection locked="0"/>
    </xf>
    <xf numFmtId="164" fontId="17" fillId="0" borderId="0" xfId="1" applyNumberFormat="1" applyFont="1" applyAlignment="1" applyProtection="1">
      <alignment horizontal="center"/>
    </xf>
    <xf numFmtId="43" fontId="18" fillId="7" borderId="0" xfId="1" applyFont="1" applyFill="1" applyAlignment="1" applyProtection="1">
      <alignment horizontal="center"/>
      <protection locked="0"/>
    </xf>
    <xf numFmtId="164" fontId="12" fillId="0" borderId="0" xfId="3" applyNumberFormat="1" applyFont="1"/>
    <xf numFmtId="0" fontId="21" fillId="7" borderId="0" xfId="3" applyFont="1" applyFill="1" applyProtection="1">
      <protection locked="0"/>
    </xf>
    <xf numFmtId="43" fontId="21" fillId="7" borderId="0" xfId="3" applyNumberFormat="1" applyFont="1" applyFill="1" applyProtection="1">
      <protection locked="0"/>
    </xf>
    <xf numFmtId="4" fontId="13" fillId="0" borderId="0" xfId="3" applyNumberFormat="1" applyFont="1" applyProtection="1">
      <protection locked="0"/>
    </xf>
    <xf numFmtId="43" fontId="16" fillId="7" borderId="0" xfId="1" applyFont="1" applyFill="1" applyProtection="1">
      <protection locked="0"/>
    </xf>
    <xf numFmtId="0" fontId="10" fillId="7" borderId="0" xfId="3" applyFont="1" applyFill="1" applyProtection="1">
      <protection locked="0"/>
    </xf>
    <xf numFmtId="164" fontId="7" fillId="0" borderId="3" xfId="1" applyNumberFormat="1" applyFont="1" applyBorder="1" applyAlignment="1">
      <alignment vertical="center" wrapText="1"/>
    </xf>
    <xf numFmtId="164" fontId="1" fillId="0" borderId="34" xfId="1" applyNumberFormat="1" applyFont="1" applyBorder="1" applyAlignment="1">
      <alignment horizontal="left" vertical="center" wrapText="1"/>
    </xf>
    <xf numFmtId="43" fontId="1" fillId="0" borderId="34" xfId="1" applyFont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35" xfId="0" applyBorder="1"/>
    <xf numFmtId="164" fontId="1" fillId="3" borderId="22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0" fontId="11" fillId="10" borderId="9" xfId="3" applyFont="1" applyFill="1" applyBorder="1" applyAlignment="1" applyProtection="1">
      <alignment horizontal="center" vertical="center" wrapText="1"/>
      <protection locked="0"/>
    </xf>
    <xf numFmtId="0" fontId="11" fillId="10" borderId="10" xfId="3" applyFont="1" applyFill="1" applyBorder="1" applyAlignment="1" applyProtection="1">
      <alignment horizontal="center" vertical="center" wrapText="1"/>
      <protection locked="0"/>
    </xf>
    <xf numFmtId="0" fontId="12" fillId="10" borderId="13" xfId="3" applyFont="1" applyFill="1" applyBorder="1" applyAlignment="1" applyProtection="1">
      <alignment horizontal="center" vertical="center" wrapText="1"/>
      <protection locked="0"/>
    </xf>
    <xf numFmtId="0" fontId="14" fillId="10" borderId="9" xfId="3" applyFont="1" applyFill="1" applyBorder="1" applyAlignment="1" applyProtection="1">
      <alignment horizontal="center" vertical="center" textRotation="255" wrapText="1"/>
      <protection locked="0"/>
    </xf>
    <xf numFmtId="0" fontId="14" fillId="10" borderId="10" xfId="3" applyFont="1" applyFill="1" applyBorder="1" applyAlignment="1" applyProtection="1">
      <alignment horizontal="center" vertical="center" textRotation="255" wrapText="1"/>
      <protection locked="0"/>
    </xf>
    <xf numFmtId="0" fontId="14" fillId="10" borderId="13" xfId="3" applyFont="1" applyFill="1" applyBorder="1" applyAlignment="1" applyProtection="1">
      <alignment horizontal="center" vertical="center" textRotation="255" wrapText="1"/>
      <protection locked="0"/>
    </xf>
    <xf numFmtId="0" fontId="14" fillId="10" borderId="11" xfId="3" applyFont="1" applyFill="1" applyBorder="1" applyAlignment="1" applyProtection="1">
      <alignment horizontal="center" vertical="center" textRotation="255" wrapText="1"/>
      <protection locked="0"/>
    </xf>
    <xf numFmtId="0" fontId="13" fillId="10" borderId="4" xfId="3" applyFont="1" applyFill="1" applyBorder="1" applyAlignment="1" applyProtection="1">
      <alignment vertical="center" textRotation="255" wrapText="1"/>
      <protection locked="0"/>
    </xf>
    <xf numFmtId="0" fontId="13" fillId="10" borderId="12" xfId="3" applyFont="1" applyFill="1" applyBorder="1" applyAlignment="1" applyProtection="1">
      <alignment vertical="center" textRotation="255" wrapText="1"/>
      <protection locked="0"/>
    </xf>
    <xf numFmtId="0" fontId="12" fillId="10" borderId="10" xfId="3" applyFont="1" applyFill="1" applyBorder="1" applyAlignment="1" applyProtection="1">
      <alignment horizontal="center" vertical="center" wrapText="1"/>
      <protection locked="0"/>
    </xf>
    <xf numFmtId="0" fontId="12" fillId="12" borderId="22" xfId="3" applyFont="1" applyFill="1" applyBorder="1" applyAlignment="1" applyProtection="1">
      <alignment wrapText="1"/>
      <protection locked="0"/>
    </xf>
    <xf numFmtId="0" fontId="12" fillId="12" borderId="23" xfId="3" applyFont="1" applyFill="1" applyBorder="1" applyAlignment="1" applyProtection="1">
      <alignment wrapText="1"/>
      <protection locked="0"/>
    </xf>
    <xf numFmtId="0" fontId="12" fillId="12" borderId="24" xfId="3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4" borderId="9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wrapText="1"/>
    </xf>
    <xf numFmtId="0" fontId="17" fillId="4" borderId="13" xfId="3" applyFont="1" applyFill="1" applyBorder="1" applyAlignment="1">
      <alignment horizontal="center" vertical="center" wrapText="1"/>
    </xf>
    <xf numFmtId="0" fontId="12" fillId="8" borderId="22" xfId="3" applyFont="1" applyFill="1" applyBorder="1" applyAlignment="1" applyProtection="1">
      <alignment wrapText="1"/>
      <protection locked="0"/>
    </xf>
    <xf numFmtId="0" fontId="12" fillId="8" borderId="23" xfId="3" applyFont="1" applyFill="1" applyBorder="1" applyAlignment="1" applyProtection="1">
      <alignment wrapText="1"/>
      <protection locked="0"/>
    </xf>
    <xf numFmtId="0" fontId="12" fillId="8" borderId="24" xfId="3" applyFont="1" applyFill="1" applyBorder="1" applyAlignment="1" applyProtection="1">
      <alignment wrapText="1"/>
      <protection locked="0"/>
    </xf>
    <xf numFmtId="0" fontId="11" fillId="4" borderId="9" xfId="3" applyFont="1" applyFill="1" applyBorder="1" applyAlignment="1" applyProtection="1">
      <alignment horizontal="center" vertical="center" wrapText="1"/>
      <protection locked="0"/>
    </xf>
    <xf numFmtId="0" fontId="11" fillId="4" borderId="10" xfId="3" applyFont="1" applyFill="1" applyBorder="1" applyAlignment="1" applyProtection="1">
      <alignment horizontal="center" vertical="center" wrapText="1"/>
      <protection locked="0"/>
    </xf>
    <xf numFmtId="0" fontId="12" fillId="4" borderId="13" xfId="3" applyFont="1" applyFill="1" applyBorder="1" applyAlignment="1" applyProtection="1">
      <alignment horizontal="center" vertical="center" wrapText="1"/>
      <protection locked="0"/>
    </xf>
    <xf numFmtId="0" fontId="14" fillId="4" borderId="11" xfId="3" applyFont="1" applyFill="1" applyBorder="1" applyAlignment="1" applyProtection="1">
      <alignment horizontal="center" vertical="center" textRotation="255" wrapText="1"/>
      <protection locked="0"/>
    </xf>
    <xf numFmtId="0" fontId="13" fillId="4" borderId="4" xfId="3" applyFont="1" applyFill="1" applyBorder="1" applyAlignment="1" applyProtection="1">
      <alignment vertical="center" textRotation="255" wrapText="1"/>
      <protection locked="0"/>
    </xf>
    <xf numFmtId="0" fontId="13" fillId="4" borderId="12" xfId="3" applyFont="1" applyFill="1" applyBorder="1" applyAlignment="1" applyProtection="1">
      <alignment vertical="center" textRotation="255" wrapText="1"/>
      <protection locked="0"/>
    </xf>
  </cellXfs>
  <cellStyles count="6">
    <cellStyle name="Millares" xfId="1" builtinId="3"/>
    <cellStyle name="Millares 2" xfId="4" xr:uid="{7165FDB1-EA9A-4ADF-AC59-60509C9D1D96}"/>
    <cellStyle name="Millares 3" xfId="5" xr:uid="{FCE56068-F339-494B-9E70-55092CE78B8C}"/>
    <cellStyle name="Normal" xfId="0" builtinId="0"/>
    <cellStyle name="Normal 2" xfId="3" xr:uid="{60A29BBA-85B2-4E1C-9C3B-21E57940E8C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fi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3418417</xdr:colOff>
      <xdr:row>0</xdr:row>
      <xdr:rowOff>63500</xdr:rowOff>
    </xdr:from>
    <xdr:to>
      <xdr:col>0</xdr:col>
      <xdr:colOff>4936067</xdr:colOff>
      <xdr:row>4</xdr:row>
      <xdr:rowOff>58843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9E5359-A530-4C77-A3B1-DF34E5830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8417" y="63500"/>
          <a:ext cx="1517650" cy="969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DE1BFE1-872E-46EF-BB5B-F3DC4C3B3298}"/>
            </a:ext>
          </a:extLst>
        </xdr:cNvPr>
        <xdr:cNvSpPr/>
      </xdr:nvSpPr>
      <xdr:spPr>
        <a:xfrm>
          <a:off x="514865" y="244647"/>
          <a:ext cx="899866" cy="667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7C9983D-2638-4C9F-8760-81908F0B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2" y="233220"/>
          <a:ext cx="1457009" cy="734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219075</xdr:rowOff>
    </xdr:from>
    <xdr:to>
      <xdr:col>0</xdr:col>
      <xdr:colOff>1352550</xdr:colOff>
      <xdr:row>3</xdr:row>
      <xdr:rowOff>219075</xdr:rowOff>
    </xdr:to>
    <xdr:pic>
      <xdr:nvPicPr>
        <xdr:cNvPr id="7" name="Imagen 6" descr="coniaf">
          <a:extLst>
            <a:ext uri="{FF2B5EF4-FFF2-40B4-BE49-F238E27FC236}">
              <a16:creationId xmlns:a16="http://schemas.microsoft.com/office/drawing/2014/main" id="{F8EAB6FE-13FE-4BA2-A537-D859678D33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075"/>
          <a:ext cx="9334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476251</xdr:colOff>
      <xdr:row>0</xdr:row>
      <xdr:rowOff>1</xdr:rowOff>
    </xdr:from>
    <xdr:to>
      <xdr:col>2</xdr:col>
      <xdr:colOff>742951</xdr:colOff>
      <xdr:row>6</xdr:row>
      <xdr:rowOff>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58ED8C-349A-4EA6-BE8D-0395621E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6" y="1"/>
          <a:ext cx="1333500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388C0F3-8645-4B4C-9105-CCFC94E776ED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96212</xdr:colOff>
      <xdr:row>0</xdr:row>
      <xdr:rowOff>239570</xdr:rowOff>
    </xdr:from>
    <xdr:to>
      <xdr:col>0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1FEB231-BFAE-4AAB-A5F2-C8EE19AC0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2" y="239570"/>
          <a:ext cx="1457009" cy="75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0</xdr:row>
      <xdr:rowOff>207820</xdr:rowOff>
    </xdr:from>
    <xdr:to>
      <xdr:col>0</xdr:col>
      <xdr:colOff>1690805</xdr:colOff>
      <xdr:row>4</xdr:row>
      <xdr:rowOff>34637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7E9AB-D727-4D57-9A69-A7286BBE7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796" y="207820"/>
          <a:ext cx="1457009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1DF5-B779-42B3-B965-5365F47B17FE}">
  <sheetPr filterMode="1">
    <pageSetUpPr fitToPage="1"/>
  </sheetPr>
  <dimension ref="A1:XCW256"/>
  <sheetViews>
    <sheetView topLeftCell="A6" zoomScale="80" zoomScaleNormal="80" workbookViewId="0">
      <pane xSplit="9" ySplit="11" topLeftCell="O17" activePane="bottomRight" state="frozen"/>
      <selection activeCell="A6" sqref="A6"/>
      <selection pane="topRight" activeCell="J6" sqref="J6"/>
      <selection pane="bottomLeft" activeCell="A16" sqref="A16"/>
      <selection pane="bottomRight" activeCell="I210" sqref="I210:I225"/>
    </sheetView>
  </sheetViews>
  <sheetFormatPr baseColWidth="10" defaultColWidth="10.5703125" defaultRowHeight="12.75" x14ac:dyDescent="0.2"/>
  <cols>
    <col min="1" max="1" width="3.140625" style="58" customWidth="1"/>
    <col min="2" max="2" width="3.140625" style="59" customWidth="1"/>
    <col min="3" max="6" width="2.5703125" style="60" customWidth="1"/>
    <col min="7" max="7" width="2.5703125" style="161" customWidth="1"/>
    <col min="8" max="8" width="35.5703125" style="60" customWidth="1"/>
    <col min="9" max="23" width="15" style="60" customWidth="1"/>
    <col min="24" max="24" width="4.85546875" style="273" customWidth="1"/>
    <col min="25" max="25" width="13.5703125" style="60" customWidth="1"/>
    <col min="26" max="16384" width="10.5703125" style="60"/>
  </cols>
  <sheetData>
    <row r="1" spans="1:24" ht="13.5" hidden="1" customHeight="1" x14ac:dyDescent="0.2">
      <c r="B1" s="157"/>
      <c r="C1" s="268"/>
      <c r="D1" s="269"/>
      <c r="E1" s="269"/>
      <c r="F1" s="269"/>
      <c r="G1" s="270"/>
      <c r="H1" s="271"/>
      <c r="I1" s="272" t="s">
        <v>140</v>
      </c>
      <c r="J1" s="272" t="s">
        <v>140</v>
      </c>
      <c r="K1" s="272" t="s">
        <v>140</v>
      </c>
      <c r="L1" s="272" t="s">
        <v>140</v>
      </c>
      <c r="M1" s="272" t="s">
        <v>140</v>
      </c>
      <c r="N1" s="272" t="s">
        <v>140</v>
      </c>
      <c r="O1" s="272" t="s">
        <v>140</v>
      </c>
      <c r="P1" s="272" t="s">
        <v>140</v>
      </c>
      <c r="Q1" s="272" t="s">
        <v>140</v>
      </c>
      <c r="R1" s="272" t="s">
        <v>140</v>
      </c>
      <c r="S1" s="272" t="s">
        <v>140</v>
      </c>
      <c r="T1" s="272" t="s">
        <v>140</v>
      </c>
      <c r="U1" s="272" t="s">
        <v>140</v>
      </c>
      <c r="V1" s="272" t="s">
        <v>140</v>
      </c>
      <c r="W1" s="272" t="s">
        <v>140</v>
      </c>
    </row>
    <row r="2" spans="1:24" ht="13.5" hidden="1" customHeight="1" x14ac:dyDescent="0.2">
      <c r="B2" s="157"/>
      <c r="C2" s="268"/>
      <c r="D2" s="269"/>
      <c r="E2" s="269"/>
      <c r="F2" s="269"/>
      <c r="G2" s="270"/>
      <c r="H2" s="271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4" ht="14.1" hidden="1" customHeight="1" x14ac:dyDescent="0.2">
      <c r="B3" s="157"/>
      <c r="C3" s="268"/>
      <c r="D3" s="269"/>
      <c r="E3" s="269"/>
      <c r="F3" s="269"/>
      <c r="G3" s="270"/>
      <c r="H3" s="271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4" ht="13.5" hidden="1" customHeight="1" x14ac:dyDescent="0.2">
      <c r="B4" s="157"/>
      <c r="C4" s="268"/>
      <c r="D4" s="269"/>
      <c r="E4" s="269"/>
      <c r="F4" s="269"/>
      <c r="G4" s="270"/>
      <c r="H4" s="271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</row>
    <row r="5" spans="1:24" ht="14.1" hidden="1" customHeight="1" x14ac:dyDescent="0.2">
      <c r="B5" s="157"/>
      <c r="C5" s="268"/>
      <c r="D5" s="269"/>
      <c r="E5" s="269"/>
      <c r="F5" s="269"/>
      <c r="G5" s="270"/>
      <c r="H5" s="271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</row>
    <row r="6" spans="1:24" ht="3" customHeight="1" x14ac:dyDescent="0.2">
      <c r="C6" s="379" t="s">
        <v>141</v>
      </c>
      <c r="D6" s="382" t="s">
        <v>142</v>
      </c>
      <c r="E6" s="382" t="s">
        <v>143</v>
      </c>
      <c r="F6" s="382" t="s">
        <v>144</v>
      </c>
      <c r="G6" s="382" t="s">
        <v>145</v>
      </c>
      <c r="H6" s="376" t="s">
        <v>146</v>
      </c>
      <c r="I6" s="376" t="s">
        <v>140</v>
      </c>
      <c r="J6" s="376" t="s">
        <v>147</v>
      </c>
      <c r="K6" s="376" t="s">
        <v>148</v>
      </c>
      <c r="L6" s="376" t="s">
        <v>84</v>
      </c>
      <c r="M6" s="376" t="s">
        <v>85</v>
      </c>
      <c r="N6" s="376" t="s">
        <v>86</v>
      </c>
      <c r="O6" s="376" t="s">
        <v>87</v>
      </c>
      <c r="P6" s="376" t="s">
        <v>88</v>
      </c>
      <c r="Q6" s="376" t="s">
        <v>89</v>
      </c>
      <c r="R6" s="376" t="s">
        <v>90</v>
      </c>
      <c r="S6" s="376" t="s">
        <v>344</v>
      </c>
      <c r="T6" s="376" t="s">
        <v>115</v>
      </c>
      <c r="U6" s="376" t="s">
        <v>117</v>
      </c>
      <c r="V6" s="376" t="s">
        <v>149</v>
      </c>
      <c r="W6" s="376" t="s">
        <v>150</v>
      </c>
    </row>
    <row r="7" spans="1:24" s="63" customFormat="1" ht="12.75" customHeight="1" x14ac:dyDescent="0.15">
      <c r="A7" s="61"/>
      <c r="B7" s="62"/>
      <c r="C7" s="380"/>
      <c r="D7" s="383"/>
      <c r="E7" s="383"/>
      <c r="F7" s="383"/>
      <c r="G7" s="383"/>
      <c r="H7" s="377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275"/>
    </row>
    <row r="8" spans="1:24" s="63" customFormat="1" ht="6.75" customHeight="1" x14ac:dyDescent="0.15">
      <c r="A8" s="61"/>
      <c r="B8" s="62"/>
      <c r="C8" s="380"/>
      <c r="D8" s="383"/>
      <c r="E8" s="383"/>
      <c r="F8" s="383"/>
      <c r="G8" s="383"/>
      <c r="H8" s="377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275"/>
    </row>
    <row r="9" spans="1:24" s="63" customFormat="1" ht="8.25" customHeight="1" x14ac:dyDescent="0.15">
      <c r="A9" s="61"/>
      <c r="B9" s="62"/>
      <c r="C9" s="380"/>
      <c r="D9" s="383"/>
      <c r="E9" s="383"/>
      <c r="F9" s="383"/>
      <c r="G9" s="383"/>
      <c r="H9" s="377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275"/>
    </row>
    <row r="10" spans="1:24" s="63" customFormat="1" ht="6.75" customHeight="1" x14ac:dyDescent="0.15">
      <c r="A10" s="61"/>
      <c r="B10" s="62"/>
      <c r="C10" s="380"/>
      <c r="D10" s="383"/>
      <c r="E10" s="383"/>
      <c r="F10" s="383"/>
      <c r="G10" s="383"/>
      <c r="H10" s="377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275"/>
    </row>
    <row r="11" spans="1:24" s="63" customFormat="1" ht="14.45" customHeight="1" x14ac:dyDescent="0.15">
      <c r="A11" s="61"/>
      <c r="B11" s="62"/>
      <c r="C11" s="380"/>
      <c r="D11" s="383"/>
      <c r="E11" s="383"/>
      <c r="F11" s="383"/>
      <c r="G11" s="383"/>
      <c r="H11" s="377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275"/>
    </row>
    <row r="12" spans="1:24" s="63" customFormat="1" ht="15.95" customHeight="1" x14ac:dyDescent="0.15">
      <c r="A12" s="61"/>
      <c r="B12" s="62"/>
      <c r="C12" s="380"/>
      <c r="D12" s="383"/>
      <c r="E12" s="383"/>
      <c r="F12" s="383"/>
      <c r="G12" s="383"/>
      <c r="H12" s="377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275"/>
    </row>
    <row r="13" spans="1:24" s="63" customFormat="1" ht="7.5" customHeight="1" x14ac:dyDescent="0.15">
      <c r="A13" s="61"/>
      <c r="B13" s="62"/>
      <c r="C13" s="380"/>
      <c r="D13" s="383"/>
      <c r="E13" s="383"/>
      <c r="F13" s="383"/>
      <c r="G13" s="383"/>
      <c r="H13" s="377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275"/>
    </row>
    <row r="14" spans="1:24" s="63" customFormat="1" ht="11.25" customHeight="1" x14ac:dyDescent="0.15">
      <c r="A14" s="61"/>
      <c r="B14" s="62"/>
      <c r="C14" s="380"/>
      <c r="D14" s="383"/>
      <c r="E14" s="383"/>
      <c r="F14" s="383"/>
      <c r="G14" s="383"/>
      <c r="H14" s="377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275"/>
    </row>
    <row r="15" spans="1:24" s="63" customFormat="1" ht="11.25" customHeight="1" x14ac:dyDescent="0.15">
      <c r="A15" s="61"/>
      <c r="B15" s="62"/>
      <c r="C15" s="380"/>
      <c r="D15" s="383"/>
      <c r="E15" s="383"/>
      <c r="F15" s="383"/>
      <c r="G15" s="383"/>
      <c r="H15" s="377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275"/>
    </row>
    <row r="16" spans="1:24" s="65" customFormat="1" ht="32.1" customHeight="1" thickBot="1" x14ac:dyDescent="0.3">
      <c r="A16" s="64"/>
      <c r="B16" s="64"/>
      <c r="C16" s="381"/>
      <c r="D16" s="384"/>
      <c r="E16" s="384"/>
      <c r="F16" s="384"/>
      <c r="G16" s="384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276"/>
    </row>
    <row r="17" spans="1:25" s="122" customFormat="1" ht="16.5" hidden="1" customHeight="1" thickBot="1" x14ac:dyDescent="0.25">
      <c r="A17" s="113">
        <v>21</v>
      </c>
      <c r="B17" s="121">
        <v>1</v>
      </c>
      <c r="C17" s="277">
        <v>2</v>
      </c>
      <c r="D17" s="278">
        <v>1</v>
      </c>
      <c r="E17" s="278"/>
      <c r="F17" s="278"/>
      <c r="G17" s="279"/>
      <c r="H17" s="280" t="s">
        <v>151</v>
      </c>
      <c r="I17" s="281">
        <f t="shared" ref="I17:W17" si="0">I19+I36+I45+I57+I52</f>
        <v>44821934.019999996</v>
      </c>
      <c r="J17" s="281">
        <f t="shared" si="0"/>
        <v>2857959.2</v>
      </c>
      <c r="K17" s="281">
        <f t="shared" si="0"/>
        <v>0</v>
      </c>
      <c r="L17" s="281">
        <f t="shared" si="0"/>
        <v>0</v>
      </c>
      <c r="M17" s="281">
        <f t="shared" si="0"/>
        <v>0</v>
      </c>
      <c r="N17" s="281">
        <f t="shared" si="0"/>
        <v>0</v>
      </c>
      <c r="O17" s="281">
        <f t="shared" si="0"/>
        <v>0</v>
      </c>
      <c r="P17" s="281">
        <f t="shared" si="0"/>
        <v>0</v>
      </c>
      <c r="Q17" s="281">
        <f t="shared" si="0"/>
        <v>0</v>
      </c>
      <c r="R17" s="281">
        <f t="shared" si="0"/>
        <v>0</v>
      </c>
      <c r="S17" s="281">
        <f t="shared" si="0"/>
        <v>0</v>
      </c>
      <c r="T17" s="281">
        <f t="shared" si="0"/>
        <v>0</v>
      </c>
      <c r="U17" s="281">
        <f t="shared" si="0"/>
        <v>0</v>
      </c>
      <c r="V17" s="281">
        <f t="shared" si="0"/>
        <v>2857959.2</v>
      </c>
      <c r="W17" s="281">
        <f t="shared" si="0"/>
        <v>41963974.819999993</v>
      </c>
      <c r="X17" s="282">
        <f>IF(SUM(I17:W17)&gt;=1,1,2)</f>
        <v>1</v>
      </c>
      <c r="Y17" s="283"/>
    </row>
    <row r="18" spans="1:25" s="284" customFormat="1" hidden="1" x14ac:dyDescent="0.2">
      <c r="B18" s="285"/>
      <c r="C18" s="285"/>
      <c r="D18" s="285"/>
      <c r="E18" s="285"/>
      <c r="F18" s="285"/>
      <c r="G18" s="285"/>
      <c r="H18" s="285"/>
      <c r="I18" s="286"/>
      <c r="J18" s="286"/>
      <c r="K18" s="286"/>
      <c r="L18" s="286"/>
      <c r="M18" s="286"/>
      <c r="N18" s="286"/>
      <c r="O18" s="286"/>
      <c r="P18" s="287">
        <f t="shared" ref="P18:U18" si="1">P245</f>
        <v>0</v>
      </c>
      <c r="Q18" s="287">
        <f t="shared" si="1"/>
        <v>0</v>
      </c>
      <c r="R18" s="287">
        <f t="shared" si="1"/>
        <v>0</v>
      </c>
      <c r="S18" s="287">
        <f t="shared" si="1"/>
        <v>0</v>
      </c>
      <c r="T18" s="288">
        <f t="shared" si="1"/>
        <v>0</v>
      </c>
      <c r="U18" s="288">
        <f t="shared" si="1"/>
        <v>0</v>
      </c>
      <c r="V18" s="289"/>
      <c r="W18" s="286"/>
      <c r="X18" s="290"/>
    </row>
    <row r="19" spans="1:25" s="114" customFormat="1" x14ac:dyDescent="0.2">
      <c r="A19" s="291">
        <v>21</v>
      </c>
      <c r="B19" s="129">
        <v>2</v>
      </c>
      <c r="C19" s="292">
        <v>2</v>
      </c>
      <c r="D19" s="293">
        <v>1</v>
      </c>
      <c r="E19" s="293">
        <v>1</v>
      </c>
      <c r="F19" s="293"/>
      <c r="G19" s="294"/>
      <c r="H19" s="295" t="s">
        <v>152</v>
      </c>
      <c r="I19" s="296">
        <f t="shared" ref="I19:W19" si="2">I20+I22+I29+I30+I31</f>
        <v>35005174</v>
      </c>
      <c r="J19" s="296">
        <f t="shared" si="2"/>
        <v>2443267.62</v>
      </c>
      <c r="K19" s="296">
        <f t="shared" si="2"/>
        <v>0</v>
      </c>
      <c r="L19" s="296">
        <f t="shared" si="2"/>
        <v>0</v>
      </c>
      <c r="M19" s="296">
        <f t="shared" si="2"/>
        <v>0</v>
      </c>
      <c r="N19" s="296">
        <f t="shared" si="2"/>
        <v>0</v>
      </c>
      <c r="O19" s="296">
        <f t="shared" si="2"/>
        <v>0</v>
      </c>
      <c r="P19" s="296">
        <f t="shared" si="2"/>
        <v>0</v>
      </c>
      <c r="Q19" s="296">
        <f t="shared" si="2"/>
        <v>0</v>
      </c>
      <c r="R19" s="296">
        <f t="shared" si="2"/>
        <v>0</v>
      </c>
      <c r="S19" s="296">
        <f t="shared" si="2"/>
        <v>0</v>
      </c>
      <c r="T19" s="296">
        <f t="shared" si="2"/>
        <v>0</v>
      </c>
      <c r="U19" s="296">
        <f t="shared" si="2"/>
        <v>0</v>
      </c>
      <c r="V19" s="296">
        <f t="shared" si="2"/>
        <v>2443267.62</v>
      </c>
      <c r="W19" s="296">
        <f t="shared" si="2"/>
        <v>32561906.379999999</v>
      </c>
      <c r="X19" s="282">
        <f t="shared" ref="X19:X82" si="3">IF(SUM(I19:W19)&gt;=1,1,2)</f>
        <v>1</v>
      </c>
      <c r="Y19" s="297"/>
    </row>
    <row r="20" spans="1:25" s="114" customFormat="1" hidden="1" x14ac:dyDescent="0.2">
      <c r="A20" s="291">
        <v>21</v>
      </c>
      <c r="B20" s="129">
        <v>3</v>
      </c>
      <c r="C20" s="292">
        <v>2</v>
      </c>
      <c r="D20" s="293">
        <v>1</v>
      </c>
      <c r="E20" s="293">
        <v>1</v>
      </c>
      <c r="F20" s="293">
        <v>1</v>
      </c>
      <c r="G20" s="294"/>
      <c r="H20" s="295" t="s">
        <v>153</v>
      </c>
      <c r="I20" s="296">
        <f t="shared" ref="I20:W20" si="4">I21</f>
        <v>30875026</v>
      </c>
      <c r="J20" s="296">
        <f t="shared" si="4"/>
        <v>2425667.62</v>
      </c>
      <c r="K20" s="296">
        <f t="shared" si="4"/>
        <v>0</v>
      </c>
      <c r="L20" s="296">
        <f t="shared" si="4"/>
        <v>0</v>
      </c>
      <c r="M20" s="296">
        <f t="shared" si="4"/>
        <v>0</v>
      </c>
      <c r="N20" s="296">
        <f t="shared" si="4"/>
        <v>0</v>
      </c>
      <c r="O20" s="296">
        <f t="shared" si="4"/>
        <v>0</v>
      </c>
      <c r="P20" s="296">
        <f t="shared" si="4"/>
        <v>0</v>
      </c>
      <c r="Q20" s="296">
        <f t="shared" si="4"/>
        <v>0</v>
      </c>
      <c r="R20" s="296">
        <f t="shared" si="4"/>
        <v>0</v>
      </c>
      <c r="S20" s="296">
        <f t="shared" si="4"/>
        <v>0</v>
      </c>
      <c r="T20" s="296">
        <f t="shared" si="4"/>
        <v>0</v>
      </c>
      <c r="U20" s="296">
        <f t="shared" si="4"/>
        <v>0</v>
      </c>
      <c r="V20" s="296">
        <f t="shared" si="4"/>
        <v>2425667.62</v>
      </c>
      <c r="W20" s="296">
        <f t="shared" si="4"/>
        <v>28449358.379999999</v>
      </c>
      <c r="X20" s="282">
        <f t="shared" si="3"/>
        <v>1</v>
      </c>
      <c r="Y20" s="297"/>
    </row>
    <row r="21" spans="1:25" s="122" customFormat="1" hidden="1" x14ac:dyDescent="0.2">
      <c r="A21" s="113">
        <v>21</v>
      </c>
      <c r="B21" s="121">
        <v>4</v>
      </c>
      <c r="C21" s="126">
        <v>2</v>
      </c>
      <c r="D21" s="127">
        <v>1</v>
      </c>
      <c r="E21" s="127">
        <v>1</v>
      </c>
      <c r="F21" s="127">
        <v>1</v>
      </c>
      <c r="G21" s="128" t="s">
        <v>154</v>
      </c>
      <c r="H21" s="298" t="s">
        <v>155</v>
      </c>
      <c r="I21" s="299">
        <v>30875026</v>
      </c>
      <c r="J21" s="299">
        <v>2425667.62</v>
      </c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>
        <f>SUM(J21:U21)</f>
        <v>2425667.62</v>
      </c>
      <c r="W21" s="300">
        <f>I21-V21</f>
        <v>28449358.379999999</v>
      </c>
      <c r="X21" s="282">
        <f t="shared" si="3"/>
        <v>1</v>
      </c>
      <c r="Y21" s="297"/>
    </row>
    <row r="22" spans="1:25" s="114" customFormat="1" hidden="1" x14ac:dyDescent="0.2">
      <c r="A22" s="113">
        <v>21</v>
      </c>
      <c r="B22" s="129">
        <v>3</v>
      </c>
      <c r="C22" s="292">
        <v>2</v>
      </c>
      <c r="D22" s="293">
        <v>1</v>
      </c>
      <c r="E22" s="293">
        <v>1</v>
      </c>
      <c r="F22" s="293">
        <v>2</v>
      </c>
      <c r="G22" s="294"/>
      <c r="H22" s="295" t="s">
        <v>156</v>
      </c>
      <c r="I22" s="296">
        <f t="shared" ref="I22:W22" si="5">SUM(I23:I28)</f>
        <v>470926</v>
      </c>
      <c r="J22" s="296">
        <f t="shared" si="5"/>
        <v>0</v>
      </c>
      <c r="K22" s="296">
        <f t="shared" si="5"/>
        <v>0</v>
      </c>
      <c r="L22" s="296">
        <f t="shared" si="5"/>
        <v>0</v>
      </c>
      <c r="M22" s="296">
        <f t="shared" si="5"/>
        <v>0</v>
      </c>
      <c r="N22" s="296">
        <f t="shared" si="5"/>
        <v>0</v>
      </c>
      <c r="O22" s="296">
        <f t="shared" si="5"/>
        <v>0</v>
      </c>
      <c r="P22" s="296">
        <f t="shared" si="5"/>
        <v>0</v>
      </c>
      <c r="Q22" s="296">
        <f t="shared" si="5"/>
        <v>0</v>
      </c>
      <c r="R22" s="296">
        <f t="shared" si="5"/>
        <v>0</v>
      </c>
      <c r="S22" s="296">
        <f t="shared" si="5"/>
        <v>0</v>
      </c>
      <c r="T22" s="296">
        <f>SUM(T23:T28)</f>
        <v>0</v>
      </c>
      <c r="U22" s="296">
        <f t="shared" si="5"/>
        <v>0</v>
      </c>
      <c r="V22" s="296">
        <f t="shared" si="5"/>
        <v>0</v>
      </c>
      <c r="W22" s="296">
        <f t="shared" si="5"/>
        <v>470926</v>
      </c>
      <c r="X22" s="282">
        <f t="shared" si="3"/>
        <v>1</v>
      </c>
      <c r="Y22" s="297"/>
    </row>
    <row r="23" spans="1:25" s="122" customFormat="1" hidden="1" x14ac:dyDescent="0.2">
      <c r="A23" s="113">
        <v>21</v>
      </c>
      <c r="B23" s="121">
        <v>4</v>
      </c>
      <c r="C23" s="126">
        <v>2</v>
      </c>
      <c r="D23" s="127">
        <v>1</v>
      </c>
      <c r="E23" s="127">
        <v>1</v>
      </c>
      <c r="F23" s="127">
        <v>2</v>
      </c>
      <c r="G23" s="128" t="s">
        <v>154</v>
      </c>
      <c r="H23" s="298" t="s">
        <v>157</v>
      </c>
      <c r="I23" s="301">
        <v>45926</v>
      </c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0">
        <f t="shared" ref="V23:V30" si="6">SUM(J23:U23)</f>
        <v>0</v>
      </c>
      <c r="W23" s="300">
        <f t="shared" ref="W23:W30" si="7">I23-V23</f>
        <v>45926</v>
      </c>
      <c r="X23" s="282">
        <f t="shared" si="3"/>
        <v>1</v>
      </c>
    </row>
    <row r="24" spans="1:25" s="122" customFormat="1" hidden="1" x14ac:dyDescent="0.2">
      <c r="A24" s="113">
        <v>21</v>
      </c>
      <c r="B24" s="121">
        <v>4</v>
      </c>
      <c r="C24" s="126">
        <v>2</v>
      </c>
      <c r="D24" s="127">
        <v>1</v>
      </c>
      <c r="E24" s="127">
        <v>1</v>
      </c>
      <c r="F24" s="127">
        <v>2</v>
      </c>
      <c r="G24" s="128" t="s">
        <v>158</v>
      </c>
      <c r="H24" s="298" t="s">
        <v>159</v>
      </c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300">
        <f t="shared" si="6"/>
        <v>0</v>
      </c>
      <c r="W24" s="300">
        <f t="shared" si="7"/>
        <v>0</v>
      </c>
      <c r="X24" s="282">
        <f t="shared" si="3"/>
        <v>2</v>
      </c>
      <c r="Y24" s="73">
        <f>U17</f>
        <v>0</v>
      </c>
    </row>
    <row r="25" spans="1:25" s="122" customFormat="1" hidden="1" x14ac:dyDescent="0.2">
      <c r="A25" s="113">
        <v>21</v>
      </c>
      <c r="B25" s="121">
        <v>4</v>
      </c>
      <c r="C25" s="126">
        <v>2</v>
      </c>
      <c r="D25" s="127">
        <v>1</v>
      </c>
      <c r="E25" s="127">
        <v>1</v>
      </c>
      <c r="F25" s="127">
        <v>2</v>
      </c>
      <c r="G25" s="128" t="s">
        <v>160</v>
      </c>
      <c r="H25" s="298" t="s">
        <v>161</v>
      </c>
      <c r="I25" s="301">
        <v>425000</v>
      </c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300">
        <f t="shared" si="6"/>
        <v>0</v>
      </c>
      <c r="W25" s="300">
        <f t="shared" si="7"/>
        <v>425000</v>
      </c>
      <c r="X25" s="282">
        <f t="shared" si="3"/>
        <v>1</v>
      </c>
      <c r="Y25" s="147"/>
    </row>
    <row r="26" spans="1:25" s="122" customFormat="1" hidden="1" x14ac:dyDescent="0.2">
      <c r="A26" s="113">
        <v>21</v>
      </c>
      <c r="B26" s="121">
        <v>4</v>
      </c>
      <c r="C26" s="126">
        <v>2</v>
      </c>
      <c r="D26" s="127">
        <v>1</v>
      </c>
      <c r="E26" s="127">
        <v>1</v>
      </c>
      <c r="F26" s="127">
        <v>2</v>
      </c>
      <c r="G26" s="128" t="s">
        <v>162</v>
      </c>
      <c r="H26" s="298" t="s">
        <v>163</v>
      </c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300">
        <f t="shared" si="6"/>
        <v>0</v>
      </c>
      <c r="W26" s="300">
        <f t="shared" si="7"/>
        <v>0</v>
      </c>
      <c r="X26" s="282">
        <f t="shared" si="3"/>
        <v>2</v>
      </c>
    </row>
    <row r="27" spans="1:25" s="122" customFormat="1" hidden="1" x14ac:dyDescent="0.2">
      <c r="A27" s="113">
        <v>21</v>
      </c>
      <c r="B27" s="121">
        <v>4</v>
      </c>
      <c r="C27" s="126">
        <v>2</v>
      </c>
      <c r="D27" s="127">
        <v>1</v>
      </c>
      <c r="E27" s="127">
        <v>1</v>
      </c>
      <c r="F27" s="127">
        <v>2</v>
      </c>
      <c r="G27" s="128" t="s">
        <v>164</v>
      </c>
      <c r="H27" s="298" t="s">
        <v>165</v>
      </c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300">
        <f t="shared" si="6"/>
        <v>0</v>
      </c>
      <c r="W27" s="300">
        <f t="shared" si="7"/>
        <v>0</v>
      </c>
      <c r="X27" s="282">
        <f t="shared" si="3"/>
        <v>2</v>
      </c>
    </row>
    <row r="28" spans="1:25" s="122" customFormat="1" hidden="1" x14ac:dyDescent="0.2">
      <c r="A28" s="113">
        <v>21</v>
      </c>
      <c r="B28" s="121">
        <v>4</v>
      </c>
      <c r="C28" s="126">
        <v>2</v>
      </c>
      <c r="D28" s="127">
        <v>1</v>
      </c>
      <c r="E28" s="127">
        <v>1</v>
      </c>
      <c r="F28" s="127">
        <v>2</v>
      </c>
      <c r="G28" s="128" t="s">
        <v>166</v>
      </c>
      <c r="H28" s="298" t="s">
        <v>346</v>
      </c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300">
        <f t="shared" si="6"/>
        <v>0</v>
      </c>
      <c r="W28" s="300">
        <f t="shared" si="7"/>
        <v>0</v>
      </c>
      <c r="X28" s="282">
        <f t="shared" si="3"/>
        <v>2</v>
      </c>
    </row>
    <row r="29" spans="1:25" s="114" customFormat="1" hidden="1" x14ac:dyDescent="0.2">
      <c r="A29" s="113">
        <v>21</v>
      </c>
      <c r="B29" s="129">
        <v>3</v>
      </c>
      <c r="C29" s="130">
        <v>2</v>
      </c>
      <c r="D29" s="131">
        <v>1</v>
      </c>
      <c r="E29" s="131">
        <v>1</v>
      </c>
      <c r="F29" s="131">
        <v>3</v>
      </c>
      <c r="G29" s="132"/>
      <c r="H29" s="302" t="s">
        <v>167</v>
      </c>
      <c r="I29" s="303">
        <v>211200</v>
      </c>
      <c r="J29" s="304">
        <v>17600</v>
      </c>
      <c r="K29" s="305"/>
      <c r="L29" s="305"/>
      <c r="M29" s="305"/>
      <c r="N29" s="305"/>
      <c r="O29" s="305"/>
      <c r="P29" s="305"/>
      <c r="Q29" s="305"/>
      <c r="R29" s="303"/>
      <c r="S29" s="303"/>
      <c r="T29" s="303"/>
      <c r="U29" s="303"/>
      <c r="V29" s="300">
        <f t="shared" si="6"/>
        <v>17600</v>
      </c>
      <c r="W29" s="300">
        <f t="shared" si="7"/>
        <v>193600</v>
      </c>
      <c r="X29" s="282">
        <f t="shared" si="3"/>
        <v>1</v>
      </c>
    </row>
    <row r="30" spans="1:25" s="114" customFormat="1" hidden="1" x14ac:dyDescent="0.2">
      <c r="A30" s="113">
        <v>21</v>
      </c>
      <c r="B30" s="129">
        <v>3</v>
      </c>
      <c r="C30" s="130">
        <v>2</v>
      </c>
      <c r="D30" s="131">
        <v>1</v>
      </c>
      <c r="E30" s="131">
        <v>1</v>
      </c>
      <c r="F30" s="131">
        <v>4</v>
      </c>
      <c r="G30" s="132"/>
      <c r="H30" s="302" t="s">
        <v>168</v>
      </c>
      <c r="I30" s="303">
        <v>2600000</v>
      </c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0">
        <f t="shared" si="6"/>
        <v>0</v>
      </c>
      <c r="W30" s="300">
        <f t="shared" si="7"/>
        <v>2600000</v>
      </c>
      <c r="X30" s="282">
        <f t="shared" si="3"/>
        <v>1</v>
      </c>
    </row>
    <row r="31" spans="1:25" s="114" customFormat="1" hidden="1" x14ac:dyDescent="0.2">
      <c r="A31" s="291">
        <v>21</v>
      </c>
      <c r="B31" s="129">
        <v>3</v>
      </c>
      <c r="C31" s="292">
        <v>2</v>
      </c>
      <c r="D31" s="293">
        <v>1</v>
      </c>
      <c r="E31" s="293">
        <v>1</v>
      </c>
      <c r="F31" s="293">
        <v>5</v>
      </c>
      <c r="G31" s="294"/>
      <c r="H31" s="295" t="s">
        <v>169</v>
      </c>
      <c r="I31" s="296">
        <f t="shared" ref="I31:W31" si="8">SUM(I32:I35)</f>
        <v>848022</v>
      </c>
      <c r="J31" s="296">
        <f t="shared" si="8"/>
        <v>0</v>
      </c>
      <c r="K31" s="296">
        <f t="shared" si="8"/>
        <v>0</v>
      </c>
      <c r="L31" s="296">
        <f t="shared" si="8"/>
        <v>0</v>
      </c>
      <c r="M31" s="296">
        <f t="shared" si="8"/>
        <v>0</v>
      </c>
      <c r="N31" s="296">
        <f t="shared" si="8"/>
        <v>0</v>
      </c>
      <c r="O31" s="296">
        <f t="shared" si="8"/>
        <v>0</v>
      </c>
      <c r="P31" s="296">
        <f t="shared" si="8"/>
        <v>0</v>
      </c>
      <c r="Q31" s="296">
        <f t="shared" si="8"/>
        <v>0</v>
      </c>
      <c r="R31" s="296">
        <f t="shared" si="8"/>
        <v>0</v>
      </c>
      <c r="S31" s="296">
        <f t="shared" si="8"/>
        <v>0</v>
      </c>
      <c r="T31" s="296">
        <f t="shared" si="8"/>
        <v>0</v>
      </c>
      <c r="U31" s="296">
        <f t="shared" si="8"/>
        <v>0</v>
      </c>
      <c r="V31" s="296">
        <f t="shared" si="8"/>
        <v>0</v>
      </c>
      <c r="W31" s="296">
        <f t="shared" si="8"/>
        <v>848022</v>
      </c>
      <c r="X31" s="282">
        <f t="shared" si="3"/>
        <v>1</v>
      </c>
    </row>
    <row r="32" spans="1:25" s="122" customFormat="1" hidden="1" x14ac:dyDescent="0.2">
      <c r="A32" s="113">
        <v>21</v>
      </c>
      <c r="B32" s="121">
        <v>4</v>
      </c>
      <c r="C32" s="126">
        <v>2</v>
      </c>
      <c r="D32" s="127">
        <v>1</v>
      </c>
      <c r="E32" s="127">
        <v>1</v>
      </c>
      <c r="F32" s="127">
        <v>5</v>
      </c>
      <c r="G32" s="128" t="s">
        <v>154</v>
      </c>
      <c r="H32" s="306" t="s">
        <v>169</v>
      </c>
      <c r="I32" s="299">
        <v>451520</v>
      </c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00">
        <f>SUM(J32:U32)</f>
        <v>0</v>
      </c>
      <c r="W32" s="300">
        <f>I32-V32</f>
        <v>451520</v>
      </c>
      <c r="X32" s="282">
        <f t="shared" si="3"/>
        <v>1</v>
      </c>
    </row>
    <row r="33" spans="1:24" s="122" customFormat="1" hidden="1" x14ac:dyDescent="0.2">
      <c r="A33" s="113">
        <v>21</v>
      </c>
      <c r="B33" s="121">
        <v>4</v>
      </c>
      <c r="C33" s="126">
        <v>2</v>
      </c>
      <c r="D33" s="127">
        <v>1</v>
      </c>
      <c r="E33" s="127">
        <v>1</v>
      </c>
      <c r="F33" s="127">
        <v>5</v>
      </c>
      <c r="G33" s="128" t="s">
        <v>158</v>
      </c>
      <c r="H33" s="306" t="s">
        <v>170</v>
      </c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300">
        <f>SUM(J33:U33)</f>
        <v>0</v>
      </c>
      <c r="W33" s="300">
        <f>I33-V33</f>
        <v>0</v>
      </c>
      <c r="X33" s="282">
        <f t="shared" si="3"/>
        <v>2</v>
      </c>
    </row>
    <row r="34" spans="1:24" s="122" customFormat="1" hidden="1" x14ac:dyDescent="0.2">
      <c r="A34" s="113">
        <v>21</v>
      </c>
      <c r="B34" s="121">
        <v>4</v>
      </c>
      <c r="C34" s="126">
        <v>2</v>
      </c>
      <c r="D34" s="127">
        <v>1</v>
      </c>
      <c r="E34" s="127">
        <v>1</v>
      </c>
      <c r="F34" s="127">
        <v>5</v>
      </c>
      <c r="G34" s="128" t="s">
        <v>160</v>
      </c>
      <c r="H34" s="306" t="s">
        <v>171</v>
      </c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300">
        <f>SUM(J34:U34)</f>
        <v>0</v>
      </c>
      <c r="W34" s="300">
        <f>I34-V34</f>
        <v>0</v>
      </c>
      <c r="X34" s="282">
        <f t="shared" si="3"/>
        <v>2</v>
      </c>
    </row>
    <row r="35" spans="1:24" s="122" customFormat="1" hidden="1" x14ac:dyDescent="0.2">
      <c r="A35" s="113">
        <v>21</v>
      </c>
      <c r="B35" s="121">
        <v>4</v>
      </c>
      <c r="C35" s="126">
        <v>2</v>
      </c>
      <c r="D35" s="127">
        <v>1</v>
      </c>
      <c r="E35" s="127">
        <v>1</v>
      </c>
      <c r="F35" s="127">
        <v>5</v>
      </c>
      <c r="G35" s="128" t="s">
        <v>162</v>
      </c>
      <c r="H35" s="306" t="s">
        <v>172</v>
      </c>
      <c r="I35" s="299">
        <v>396502</v>
      </c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300">
        <f>SUM(J35:U35)</f>
        <v>0</v>
      </c>
      <c r="W35" s="300">
        <f>I35-V35</f>
        <v>396502</v>
      </c>
      <c r="X35" s="282">
        <f t="shared" si="3"/>
        <v>1</v>
      </c>
    </row>
    <row r="36" spans="1:24" s="122" customFormat="1" x14ac:dyDescent="0.2">
      <c r="A36" s="113">
        <v>21</v>
      </c>
      <c r="B36" s="121">
        <v>2</v>
      </c>
      <c r="C36" s="292">
        <v>2</v>
      </c>
      <c r="D36" s="293">
        <v>1</v>
      </c>
      <c r="E36" s="293">
        <v>2</v>
      </c>
      <c r="F36" s="293"/>
      <c r="G36" s="307"/>
      <c r="H36" s="295" t="s">
        <v>173</v>
      </c>
      <c r="I36" s="296">
        <f t="shared" ref="I36:W36" si="9">+I37</f>
        <v>4306332</v>
      </c>
      <c r="J36" s="296">
        <f t="shared" si="9"/>
        <v>56250</v>
      </c>
      <c r="K36" s="296">
        <f t="shared" si="9"/>
        <v>0</v>
      </c>
      <c r="L36" s="296">
        <f t="shared" si="9"/>
        <v>0</v>
      </c>
      <c r="M36" s="296">
        <f t="shared" si="9"/>
        <v>0</v>
      </c>
      <c r="N36" s="296">
        <f t="shared" si="9"/>
        <v>0</v>
      </c>
      <c r="O36" s="296">
        <f t="shared" si="9"/>
        <v>0</v>
      </c>
      <c r="P36" s="296">
        <f t="shared" si="9"/>
        <v>0</v>
      </c>
      <c r="Q36" s="296">
        <f t="shared" si="9"/>
        <v>0</v>
      </c>
      <c r="R36" s="296">
        <f t="shared" si="9"/>
        <v>0</v>
      </c>
      <c r="S36" s="296">
        <f t="shared" si="9"/>
        <v>0</v>
      </c>
      <c r="T36" s="296">
        <f t="shared" si="9"/>
        <v>0</v>
      </c>
      <c r="U36" s="296">
        <f t="shared" si="9"/>
        <v>0</v>
      </c>
      <c r="V36" s="296">
        <f t="shared" si="9"/>
        <v>56250</v>
      </c>
      <c r="W36" s="296">
        <f t="shared" si="9"/>
        <v>4250082</v>
      </c>
      <c r="X36" s="282">
        <f t="shared" si="3"/>
        <v>1</v>
      </c>
    </row>
    <row r="37" spans="1:24" s="114" customFormat="1" hidden="1" x14ac:dyDescent="0.2">
      <c r="A37" s="291">
        <v>21</v>
      </c>
      <c r="B37" s="129">
        <v>3</v>
      </c>
      <c r="C37" s="292">
        <v>2</v>
      </c>
      <c r="D37" s="293">
        <v>1</v>
      </c>
      <c r="E37" s="293">
        <v>2</v>
      </c>
      <c r="F37" s="293">
        <v>2</v>
      </c>
      <c r="G37" s="294"/>
      <c r="H37" s="295" t="s">
        <v>174</v>
      </c>
      <c r="I37" s="296">
        <f t="shared" ref="I37:W37" si="10">SUM(I38:I43)</f>
        <v>4306332</v>
      </c>
      <c r="J37" s="296">
        <f t="shared" si="10"/>
        <v>56250</v>
      </c>
      <c r="K37" s="296">
        <f t="shared" si="10"/>
        <v>0</v>
      </c>
      <c r="L37" s="296">
        <f t="shared" si="10"/>
        <v>0</v>
      </c>
      <c r="M37" s="296">
        <f t="shared" si="10"/>
        <v>0</v>
      </c>
      <c r="N37" s="296">
        <f t="shared" si="10"/>
        <v>0</v>
      </c>
      <c r="O37" s="296">
        <f t="shared" si="10"/>
        <v>0</v>
      </c>
      <c r="P37" s="296">
        <f t="shared" si="10"/>
        <v>0</v>
      </c>
      <c r="Q37" s="296">
        <f t="shared" si="10"/>
        <v>0</v>
      </c>
      <c r="R37" s="296">
        <f t="shared" si="10"/>
        <v>0</v>
      </c>
      <c r="S37" s="296">
        <f t="shared" si="10"/>
        <v>0</v>
      </c>
      <c r="T37" s="296">
        <f t="shared" si="10"/>
        <v>0</v>
      </c>
      <c r="U37" s="308"/>
      <c r="V37" s="296">
        <f t="shared" si="10"/>
        <v>56250</v>
      </c>
      <c r="W37" s="296">
        <f t="shared" si="10"/>
        <v>4250082</v>
      </c>
      <c r="X37" s="282">
        <f t="shared" si="3"/>
        <v>1</v>
      </c>
    </row>
    <row r="38" spans="1:24" s="122" customFormat="1" hidden="1" x14ac:dyDescent="0.2">
      <c r="A38" s="113">
        <v>21</v>
      </c>
      <c r="B38" s="121">
        <v>4</v>
      </c>
      <c r="C38" s="126">
        <v>2</v>
      </c>
      <c r="D38" s="127">
        <v>1</v>
      </c>
      <c r="E38" s="127">
        <v>2</v>
      </c>
      <c r="F38" s="127">
        <v>2</v>
      </c>
      <c r="G38" s="128" t="s">
        <v>154</v>
      </c>
      <c r="H38" s="306" t="s">
        <v>175</v>
      </c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300">
        <f t="shared" ref="V38:V44" si="11">SUM(J38:U38)</f>
        <v>0</v>
      </c>
      <c r="W38" s="300">
        <f t="shared" ref="W38:W43" si="12">I38-V38</f>
        <v>0</v>
      </c>
      <c r="X38" s="282">
        <f t="shared" si="3"/>
        <v>2</v>
      </c>
    </row>
    <row r="39" spans="1:24" s="122" customFormat="1" hidden="1" x14ac:dyDescent="0.2">
      <c r="A39" s="113">
        <v>21</v>
      </c>
      <c r="B39" s="121">
        <v>4</v>
      </c>
      <c r="C39" s="126">
        <v>2</v>
      </c>
      <c r="D39" s="127">
        <v>1</v>
      </c>
      <c r="E39" s="127">
        <v>2</v>
      </c>
      <c r="F39" s="127">
        <v>2</v>
      </c>
      <c r="G39" s="128" t="s">
        <v>162</v>
      </c>
      <c r="H39" s="306" t="s">
        <v>176</v>
      </c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300">
        <f t="shared" si="11"/>
        <v>0</v>
      </c>
      <c r="W39" s="300">
        <f t="shared" si="12"/>
        <v>0</v>
      </c>
      <c r="X39" s="282">
        <f t="shared" si="3"/>
        <v>2</v>
      </c>
    </row>
    <row r="40" spans="1:24" s="122" customFormat="1" hidden="1" x14ac:dyDescent="0.2">
      <c r="A40" s="113">
        <v>21</v>
      </c>
      <c r="B40" s="121">
        <v>4</v>
      </c>
      <c r="C40" s="126">
        <v>2</v>
      </c>
      <c r="D40" s="127">
        <v>1</v>
      </c>
      <c r="E40" s="127">
        <v>2</v>
      </c>
      <c r="F40" s="127">
        <v>2</v>
      </c>
      <c r="G40" s="128" t="s">
        <v>164</v>
      </c>
      <c r="H40" s="306" t="s">
        <v>177</v>
      </c>
      <c r="I40" s="299">
        <v>675000</v>
      </c>
      <c r="J40" s="299">
        <v>56250</v>
      </c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300">
        <f t="shared" si="11"/>
        <v>56250</v>
      </c>
      <c r="W40" s="300">
        <f t="shared" si="12"/>
        <v>618750</v>
      </c>
      <c r="X40" s="282">
        <f t="shared" si="3"/>
        <v>1</v>
      </c>
    </row>
    <row r="41" spans="1:24" s="122" customFormat="1" hidden="1" x14ac:dyDescent="0.2">
      <c r="A41" s="113">
        <v>21</v>
      </c>
      <c r="B41" s="121">
        <v>4</v>
      </c>
      <c r="C41" s="126">
        <v>2</v>
      </c>
      <c r="D41" s="127">
        <v>1</v>
      </c>
      <c r="E41" s="127">
        <v>2</v>
      </c>
      <c r="F41" s="127">
        <v>2</v>
      </c>
      <c r="G41" s="128" t="s">
        <v>178</v>
      </c>
      <c r="H41" s="306" t="s">
        <v>179</v>
      </c>
      <c r="I41" s="299">
        <v>0</v>
      </c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300">
        <f t="shared" si="11"/>
        <v>0</v>
      </c>
      <c r="W41" s="300">
        <f t="shared" si="12"/>
        <v>0</v>
      </c>
      <c r="X41" s="282">
        <f t="shared" si="3"/>
        <v>2</v>
      </c>
    </row>
    <row r="42" spans="1:24" s="122" customFormat="1" hidden="1" x14ac:dyDescent="0.2">
      <c r="A42" s="113">
        <v>21</v>
      </c>
      <c r="B42" s="121">
        <v>4</v>
      </c>
      <c r="C42" s="126">
        <v>2</v>
      </c>
      <c r="D42" s="127">
        <v>1</v>
      </c>
      <c r="E42" s="127">
        <v>2</v>
      </c>
      <c r="F42" s="127">
        <v>2</v>
      </c>
      <c r="G42" s="128" t="s">
        <v>180</v>
      </c>
      <c r="H42" s="306" t="s">
        <v>181</v>
      </c>
      <c r="I42" s="299">
        <v>1031332</v>
      </c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300">
        <f t="shared" si="11"/>
        <v>0</v>
      </c>
      <c r="W42" s="300">
        <f t="shared" si="12"/>
        <v>1031332</v>
      </c>
      <c r="X42" s="282">
        <f t="shared" si="3"/>
        <v>1</v>
      </c>
    </row>
    <row r="43" spans="1:24" s="122" customFormat="1" hidden="1" x14ac:dyDescent="0.2">
      <c r="A43" s="113">
        <v>21</v>
      </c>
      <c r="B43" s="121">
        <v>4</v>
      </c>
      <c r="C43" s="126">
        <v>2</v>
      </c>
      <c r="D43" s="127">
        <v>1</v>
      </c>
      <c r="E43" s="127">
        <v>2</v>
      </c>
      <c r="F43" s="127">
        <v>2</v>
      </c>
      <c r="G43" s="128" t="s">
        <v>166</v>
      </c>
      <c r="H43" s="306" t="s">
        <v>182</v>
      </c>
      <c r="I43" s="299">
        <v>2600000</v>
      </c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300">
        <f t="shared" si="11"/>
        <v>0</v>
      </c>
      <c r="W43" s="300">
        <f t="shared" si="12"/>
        <v>2600000</v>
      </c>
      <c r="X43" s="282">
        <f t="shared" si="3"/>
        <v>1</v>
      </c>
    </row>
    <row r="44" spans="1:24" s="122" customFormat="1" hidden="1" x14ac:dyDescent="0.2">
      <c r="A44" s="113"/>
      <c r="B44" s="149"/>
      <c r="C44" s="149"/>
      <c r="D44" s="149"/>
      <c r="E44" s="149"/>
      <c r="F44" s="149"/>
      <c r="G44" s="149"/>
      <c r="H44" s="14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300">
        <f t="shared" si="11"/>
        <v>0</v>
      </c>
      <c r="W44" s="289"/>
      <c r="X44" s="282">
        <v>3</v>
      </c>
    </row>
    <row r="45" spans="1:24" s="122" customFormat="1" x14ac:dyDescent="0.2">
      <c r="A45" s="113">
        <v>21</v>
      </c>
      <c r="B45" s="121">
        <v>2</v>
      </c>
      <c r="C45" s="292">
        <v>2</v>
      </c>
      <c r="D45" s="293">
        <v>1</v>
      </c>
      <c r="E45" s="293">
        <v>3</v>
      </c>
      <c r="F45" s="293"/>
      <c r="G45" s="307"/>
      <c r="H45" s="295" t="s">
        <v>183</v>
      </c>
      <c r="I45" s="296">
        <f t="shared" ref="I45:W45" si="13">+I46+I49</f>
        <v>466000</v>
      </c>
      <c r="J45" s="296">
        <f t="shared" si="13"/>
        <v>0</v>
      </c>
      <c r="K45" s="296">
        <f t="shared" si="13"/>
        <v>0</v>
      </c>
      <c r="L45" s="296">
        <f t="shared" si="13"/>
        <v>0</v>
      </c>
      <c r="M45" s="296">
        <f t="shared" si="13"/>
        <v>0</v>
      </c>
      <c r="N45" s="296">
        <f t="shared" si="13"/>
        <v>0</v>
      </c>
      <c r="O45" s="296">
        <f t="shared" si="13"/>
        <v>0</v>
      </c>
      <c r="P45" s="296">
        <f t="shared" si="13"/>
        <v>0</v>
      </c>
      <c r="Q45" s="296">
        <f t="shared" si="13"/>
        <v>0</v>
      </c>
      <c r="R45" s="296">
        <f t="shared" si="13"/>
        <v>0</v>
      </c>
      <c r="S45" s="296">
        <f t="shared" si="13"/>
        <v>0</v>
      </c>
      <c r="T45" s="296">
        <f t="shared" si="13"/>
        <v>0</v>
      </c>
      <c r="U45" s="296">
        <f t="shared" si="13"/>
        <v>0</v>
      </c>
      <c r="V45" s="296">
        <f t="shared" si="13"/>
        <v>0</v>
      </c>
      <c r="W45" s="296">
        <f t="shared" si="13"/>
        <v>466000</v>
      </c>
      <c r="X45" s="282">
        <f t="shared" si="3"/>
        <v>1</v>
      </c>
    </row>
    <row r="46" spans="1:24" s="114" customFormat="1" hidden="1" x14ac:dyDescent="0.2">
      <c r="A46" s="113">
        <v>21</v>
      </c>
      <c r="B46" s="121">
        <v>3</v>
      </c>
      <c r="C46" s="292">
        <v>2</v>
      </c>
      <c r="D46" s="293">
        <v>1</v>
      </c>
      <c r="E46" s="293">
        <v>3</v>
      </c>
      <c r="F46" s="293">
        <v>1</v>
      </c>
      <c r="G46" s="294"/>
      <c r="H46" s="295" t="s">
        <v>184</v>
      </c>
      <c r="I46" s="296">
        <f t="shared" ref="I46:W46" si="14">SUM(I47:I48)</f>
        <v>101000</v>
      </c>
      <c r="J46" s="296">
        <f t="shared" si="14"/>
        <v>0</v>
      </c>
      <c r="K46" s="296">
        <f t="shared" si="14"/>
        <v>0</v>
      </c>
      <c r="L46" s="296">
        <f t="shared" si="14"/>
        <v>0</v>
      </c>
      <c r="M46" s="296">
        <f t="shared" si="14"/>
        <v>0</v>
      </c>
      <c r="N46" s="296">
        <f t="shared" si="14"/>
        <v>0</v>
      </c>
      <c r="O46" s="296">
        <f t="shared" si="14"/>
        <v>0</v>
      </c>
      <c r="P46" s="296">
        <f t="shared" si="14"/>
        <v>0</v>
      </c>
      <c r="Q46" s="296">
        <f t="shared" si="14"/>
        <v>0</v>
      </c>
      <c r="R46" s="296">
        <f t="shared" si="14"/>
        <v>0</v>
      </c>
      <c r="S46" s="296">
        <f t="shared" si="14"/>
        <v>0</v>
      </c>
      <c r="T46" s="296">
        <f t="shared" si="14"/>
        <v>0</v>
      </c>
      <c r="U46" s="296">
        <f t="shared" si="14"/>
        <v>0</v>
      </c>
      <c r="V46" s="296">
        <f t="shared" si="14"/>
        <v>0</v>
      </c>
      <c r="W46" s="296">
        <f t="shared" si="14"/>
        <v>101000</v>
      </c>
      <c r="X46" s="282">
        <f t="shared" si="3"/>
        <v>1</v>
      </c>
    </row>
    <row r="47" spans="1:24" s="122" customFormat="1" hidden="1" x14ac:dyDescent="0.2">
      <c r="A47" s="113">
        <v>21</v>
      </c>
      <c r="B47" s="121">
        <v>4</v>
      </c>
      <c r="C47" s="126">
        <v>2</v>
      </c>
      <c r="D47" s="127">
        <v>1</v>
      </c>
      <c r="E47" s="127">
        <v>3</v>
      </c>
      <c r="F47" s="127">
        <v>1</v>
      </c>
      <c r="G47" s="128" t="s">
        <v>154</v>
      </c>
      <c r="H47" s="306" t="s">
        <v>185</v>
      </c>
      <c r="I47" s="299">
        <v>1000</v>
      </c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300">
        <f>SUM(J47:U47)</f>
        <v>0</v>
      </c>
      <c r="W47" s="300">
        <f>I47-V47</f>
        <v>1000</v>
      </c>
      <c r="X47" s="282">
        <f t="shared" si="3"/>
        <v>1</v>
      </c>
    </row>
    <row r="48" spans="1:24" s="122" customFormat="1" hidden="1" x14ac:dyDescent="0.2">
      <c r="A48" s="113">
        <v>21</v>
      </c>
      <c r="B48" s="121">
        <v>4</v>
      </c>
      <c r="C48" s="126">
        <v>2</v>
      </c>
      <c r="D48" s="127">
        <v>1</v>
      </c>
      <c r="E48" s="127">
        <v>3</v>
      </c>
      <c r="F48" s="127">
        <v>1</v>
      </c>
      <c r="G48" s="128" t="s">
        <v>158</v>
      </c>
      <c r="H48" s="306" t="s">
        <v>186</v>
      </c>
      <c r="I48" s="299">
        <v>100000</v>
      </c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300">
        <f>SUM(J48:U48)</f>
        <v>0</v>
      </c>
      <c r="W48" s="300">
        <f>I48-V48</f>
        <v>100000</v>
      </c>
      <c r="X48" s="282">
        <f t="shared" si="3"/>
        <v>1</v>
      </c>
    </row>
    <row r="49" spans="1:24 16305:16325" s="114" customFormat="1" hidden="1" x14ac:dyDescent="0.2">
      <c r="A49" s="113">
        <v>21</v>
      </c>
      <c r="B49" s="121">
        <v>3</v>
      </c>
      <c r="C49" s="292">
        <v>2</v>
      </c>
      <c r="D49" s="293">
        <v>1</v>
      </c>
      <c r="E49" s="293">
        <v>3</v>
      </c>
      <c r="F49" s="293">
        <v>2</v>
      </c>
      <c r="G49" s="294"/>
      <c r="H49" s="295" t="s">
        <v>187</v>
      </c>
      <c r="I49" s="296">
        <f t="shared" ref="I49:W49" si="15">I50</f>
        <v>365000</v>
      </c>
      <c r="J49" s="296">
        <f t="shared" si="15"/>
        <v>0</v>
      </c>
      <c r="K49" s="296">
        <f t="shared" si="15"/>
        <v>0</v>
      </c>
      <c r="L49" s="296">
        <f t="shared" si="15"/>
        <v>0</v>
      </c>
      <c r="M49" s="296">
        <f t="shared" si="15"/>
        <v>0</v>
      </c>
      <c r="N49" s="296">
        <f t="shared" si="15"/>
        <v>0</v>
      </c>
      <c r="O49" s="296">
        <f t="shared" si="15"/>
        <v>0</v>
      </c>
      <c r="P49" s="296">
        <f t="shared" si="15"/>
        <v>0</v>
      </c>
      <c r="Q49" s="296">
        <f t="shared" si="15"/>
        <v>0</v>
      </c>
      <c r="R49" s="296">
        <f t="shared" si="15"/>
        <v>0</v>
      </c>
      <c r="S49" s="296">
        <f t="shared" si="15"/>
        <v>0</v>
      </c>
      <c r="T49" s="296">
        <f t="shared" si="15"/>
        <v>0</v>
      </c>
      <c r="U49" s="296">
        <f t="shared" si="15"/>
        <v>0</v>
      </c>
      <c r="V49" s="296">
        <f t="shared" si="15"/>
        <v>0</v>
      </c>
      <c r="W49" s="296">
        <f t="shared" si="15"/>
        <v>365000</v>
      </c>
      <c r="X49" s="282">
        <f t="shared" si="3"/>
        <v>1</v>
      </c>
    </row>
    <row r="50" spans="1:24 16305:16325" s="122" customFormat="1" hidden="1" x14ac:dyDescent="0.2">
      <c r="A50" s="113">
        <v>21</v>
      </c>
      <c r="B50" s="121">
        <v>4</v>
      </c>
      <c r="C50" s="126">
        <v>2</v>
      </c>
      <c r="D50" s="127">
        <v>1</v>
      </c>
      <c r="E50" s="127">
        <v>3</v>
      </c>
      <c r="F50" s="127">
        <v>2</v>
      </c>
      <c r="G50" s="128" t="s">
        <v>154</v>
      </c>
      <c r="H50" s="306" t="s">
        <v>188</v>
      </c>
      <c r="I50" s="299">
        <v>365000</v>
      </c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300">
        <f>SUM(J50:U50)</f>
        <v>0</v>
      </c>
      <c r="W50" s="300">
        <f>I50-V50</f>
        <v>365000</v>
      </c>
      <c r="X50" s="282">
        <f t="shared" si="3"/>
        <v>1</v>
      </c>
    </row>
    <row r="51" spans="1:24 16305:16325" s="122" customFormat="1" hidden="1" x14ac:dyDescent="0.2">
      <c r="A51" s="113"/>
      <c r="B51" s="149"/>
      <c r="C51" s="149"/>
      <c r="D51" s="149"/>
      <c r="E51" s="149"/>
      <c r="F51" s="149"/>
      <c r="G51" s="149"/>
      <c r="H51" s="14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2">
        <v>3</v>
      </c>
    </row>
    <row r="52" spans="1:24 16305:16325" s="122" customFormat="1" x14ac:dyDescent="0.2">
      <c r="A52" s="113">
        <v>21</v>
      </c>
      <c r="B52" s="121">
        <v>2</v>
      </c>
      <c r="C52" s="292">
        <v>2</v>
      </c>
      <c r="D52" s="293">
        <v>1</v>
      </c>
      <c r="E52" s="293">
        <v>4</v>
      </c>
      <c r="F52" s="293"/>
      <c r="G52" s="307"/>
      <c r="H52" s="295" t="s">
        <v>189</v>
      </c>
      <c r="I52" s="309">
        <f t="shared" ref="I52:W52" si="16">+I53+I54</f>
        <v>0</v>
      </c>
      <c r="J52" s="309">
        <f t="shared" si="16"/>
        <v>0</v>
      </c>
      <c r="K52" s="309">
        <f t="shared" si="16"/>
        <v>0</v>
      </c>
      <c r="L52" s="309">
        <f t="shared" si="16"/>
        <v>0</v>
      </c>
      <c r="M52" s="309">
        <f t="shared" si="16"/>
        <v>0</v>
      </c>
      <c r="N52" s="309">
        <f t="shared" si="16"/>
        <v>0</v>
      </c>
      <c r="O52" s="309">
        <f t="shared" si="16"/>
        <v>0</v>
      </c>
      <c r="P52" s="309">
        <f t="shared" si="16"/>
        <v>0</v>
      </c>
      <c r="Q52" s="309">
        <f t="shared" si="16"/>
        <v>0</v>
      </c>
      <c r="R52" s="309">
        <f t="shared" si="16"/>
        <v>0</v>
      </c>
      <c r="S52" s="309">
        <f t="shared" si="16"/>
        <v>0</v>
      </c>
      <c r="T52" s="309">
        <f t="shared" si="16"/>
        <v>0</v>
      </c>
      <c r="U52" s="309">
        <f t="shared" si="16"/>
        <v>0</v>
      </c>
      <c r="V52" s="309">
        <f t="shared" si="16"/>
        <v>0</v>
      </c>
      <c r="W52" s="309">
        <f t="shared" si="16"/>
        <v>0</v>
      </c>
      <c r="X52" s="282">
        <f t="shared" si="3"/>
        <v>2</v>
      </c>
    </row>
    <row r="53" spans="1:24 16305:16325" s="114" customFormat="1" hidden="1" x14ac:dyDescent="0.2">
      <c r="A53" s="113">
        <v>21</v>
      </c>
      <c r="B53" s="121">
        <v>3</v>
      </c>
      <c r="C53" s="130">
        <v>2</v>
      </c>
      <c r="D53" s="131">
        <v>1</v>
      </c>
      <c r="E53" s="131">
        <v>4</v>
      </c>
      <c r="F53" s="131">
        <v>1</v>
      </c>
      <c r="G53" s="310"/>
      <c r="H53" s="302" t="s">
        <v>190</v>
      </c>
      <c r="I53" s="303">
        <v>0</v>
      </c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0">
        <f>SUM(J53:U53)</f>
        <v>0</v>
      </c>
      <c r="W53" s="300">
        <f>I53-V53</f>
        <v>0</v>
      </c>
      <c r="X53" s="282">
        <f t="shared" si="3"/>
        <v>2</v>
      </c>
    </row>
    <row r="54" spans="1:24 16305:16325" s="114" customFormat="1" hidden="1" x14ac:dyDescent="0.2">
      <c r="A54" s="113">
        <v>21</v>
      </c>
      <c r="B54" s="121">
        <v>3</v>
      </c>
      <c r="C54" s="292">
        <v>2</v>
      </c>
      <c r="D54" s="293">
        <v>1</v>
      </c>
      <c r="E54" s="293">
        <v>4</v>
      </c>
      <c r="F54" s="293">
        <v>2</v>
      </c>
      <c r="G54" s="294"/>
      <c r="H54" s="295" t="s">
        <v>191</v>
      </c>
      <c r="I54" s="296">
        <f t="shared" ref="I54:W54" si="17">I55</f>
        <v>0</v>
      </c>
      <c r="J54" s="296">
        <f t="shared" si="17"/>
        <v>0</v>
      </c>
      <c r="K54" s="296">
        <f t="shared" si="17"/>
        <v>0</v>
      </c>
      <c r="L54" s="296">
        <f t="shared" si="17"/>
        <v>0</v>
      </c>
      <c r="M54" s="296">
        <f t="shared" si="17"/>
        <v>0</v>
      </c>
      <c r="N54" s="296">
        <f t="shared" si="17"/>
        <v>0</v>
      </c>
      <c r="O54" s="296">
        <f t="shared" si="17"/>
        <v>0</v>
      </c>
      <c r="P54" s="296">
        <f t="shared" si="17"/>
        <v>0</v>
      </c>
      <c r="Q54" s="296">
        <f t="shared" si="17"/>
        <v>0</v>
      </c>
      <c r="R54" s="296">
        <f t="shared" si="17"/>
        <v>0</v>
      </c>
      <c r="S54" s="296">
        <f t="shared" si="17"/>
        <v>0</v>
      </c>
      <c r="T54" s="296">
        <f t="shared" si="17"/>
        <v>0</v>
      </c>
      <c r="U54" s="296">
        <f t="shared" si="17"/>
        <v>0</v>
      </c>
      <c r="V54" s="296">
        <f t="shared" si="17"/>
        <v>0</v>
      </c>
      <c r="W54" s="296">
        <f t="shared" si="17"/>
        <v>0</v>
      </c>
      <c r="X54" s="282">
        <f t="shared" si="3"/>
        <v>2</v>
      </c>
    </row>
    <row r="55" spans="1:24 16305:16325" s="122" customFormat="1" hidden="1" x14ac:dyDescent="0.2">
      <c r="A55" s="113">
        <v>21</v>
      </c>
      <c r="B55" s="121">
        <v>4</v>
      </c>
      <c r="C55" s="126">
        <v>2</v>
      </c>
      <c r="D55" s="127">
        <v>1</v>
      </c>
      <c r="E55" s="127">
        <v>4</v>
      </c>
      <c r="F55" s="127">
        <v>2</v>
      </c>
      <c r="G55" s="128" t="s">
        <v>154</v>
      </c>
      <c r="H55" s="306" t="s">
        <v>192</v>
      </c>
      <c r="I55" s="299">
        <v>0</v>
      </c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300">
        <f>SUM(J55:U55)</f>
        <v>0</v>
      </c>
      <c r="W55" s="300">
        <f>I55-V55</f>
        <v>0</v>
      </c>
      <c r="X55" s="282">
        <f t="shared" si="3"/>
        <v>2</v>
      </c>
    </row>
    <row r="56" spans="1:24 16305:16325" s="122" customFormat="1" hidden="1" x14ac:dyDescent="0.2">
      <c r="A56" s="113"/>
      <c r="B56" s="149"/>
      <c r="C56" s="149"/>
      <c r="D56" s="149"/>
      <c r="E56" s="149"/>
      <c r="F56" s="149"/>
      <c r="G56" s="149"/>
      <c r="H56" s="14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2">
        <v>3</v>
      </c>
    </row>
    <row r="57" spans="1:24 16305:16325" s="114" customFormat="1" x14ac:dyDescent="0.2">
      <c r="A57" s="291">
        <v>21</v>
      </c>
      <c r="B57" s="129">
        <v>2</v>
      </c>
      <c r="C57" s="292">
        <v>2</v>
      </c>
      <c r="D57" s="293">
        <v>1</v>
      </c>
      <c r="E57" s="293">
        <v>5</v>
      </c>
      <c r="F57" s="293"/>
      <c r="G57" s="294"/>
      <c r="H57" s="295" t="s">
        <v>193</v>
      </c>
      <c r="I57" s="296">
        <f t="shared" ref="I57:W57" si="18">SUM(I58:I60)</f>
        <v>5044428.0199999996</v>
      </c>
      <c r="J57" s="296">
        <f t="shared" si="18"/>
        <v>358441.58</v>
      </c>
      <c r="K57" s="296">
        <f t="shared" si="18"/>
        <v>0</v>
      </c>
      <c r="L57" s="296">
        <f t="shared" si="18"/>
        <v>0</v>
      </c>
      <c r="M57" s="296">
        <f t="shared" si="18"/>
        <v>0</v>
      </c>
      <c r="N57" s="296">
        <f t="shared" si="18"/>
        <v>0</v>
      </c>
      <c r="O57" s="296">
        <f t="shared" si="18"/>
        <v>0</v>
      </c>
      <c r="P57" s="296">
        <f t="shared" si="18"/>
        <v>0</v>
      </c>
      <c r="Q57" s="296">
        <f t="shared" si="18"/>
        <v>0</v>
      </c>
      <c r="R57" s="296">
        <f t="shared" si="18"/>
        <v>0</v>
      </c>
      <c r="S57" s="296">
        <f t="shared" si="18"/>
        <v>0</v>
      </c>
      <c r="T57" s="296">
        <f t="shared" si="18"/>
        <v>0</v>
      </c>
      <c r="U57" s="296">
        <f t="shared" si="18"/>
        <v>0</v>
      </c>
      <c r="V57" s="296">
        <f t="shared" si="18"/>
        <v>358441.58</v>
      </c>
      <c r="W57" s="296">
        <f t="shared" si="18"/>
        <v>4685986.4400000004</v>
      </c>
      <c r="X57" s="282">
        <f t="shared" si="3"/>
        <v>1</v>
      </c>
      <c r="XCC57" s="291"/>
      <c r="XCD57" s="129"/>
      <c r="XCE57" s="311"/>
      <c r="XCF57" s="312"/>
      <c r="XCG57" s="312"/>
      <c r="XCH57" s="312"/>
      <c r="XCI57" s="313"/>
      <c r="XCJ57" s="314"/>
      <c r="XCK57" s="315"/>
      <c r="XCL57" s="316"/>
      <c r="XCM57" s="316"/>
      <c r="XCN57" s="316"/>
      <c r="XCO57" s="316"/>
      <c r="XCP57" s="316"/>
      <c r="XCQ57" s="317"/>
      <c r="XCR57" s="315"/>
      <c r="XCS57" s="316"/>
      <c r="XCT57" s="316"/>
      <c r="XCU57" s="316"/>
      <c r="XCV57" s="316"/>
      <c r="XCW57" s="316"/>
    </row>
    <row r="58" spans="1:24 16305:16325" s="114" customFormat="1" hidden="1" x14ac:dyDescent="0.2">
      <c r="A58" s="113">
        <v>21</v>
      </c>
      <c r="B58" s="121">
        <v>3</v>
      </c>
      <c r="C58" s="130">
        <v>2</v>
      </c>
      <c r="D58" s="131">
        <v>1</v>
      </c>
      <c r="E58" s="131">
        <v>5</v>
      </c>
      <c r="F58" s="131">
        <v>1</v>
      </c>
      <c r="G58" s="132"/>
      <c r="H58" s="302" t="s">
        <v>194</v>
      </c>
      <c r="I58" s="299">
        <v>2345212.02</v>
      </c>
      <c r="J58" s="299">
        <v>167741.76000000001</v>
      </c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300">
        <f>SUM(J58:U58)</f>
        <v>167741.76000000001</v>
      </c>
      <c r="W58" s="300">
        <f>I58-V58</f>
        <v>2177470.2599999998</v>
      </c>
      <c r="X58" s="282">
        <f t="shared" si="3"/>
        <v>1</v>
      </c>
    </row>
    <row r="59" spans="1:24 16305:16325" s="114" customFormat="1" hidden="1" x14ac:dyDescent="0.2">
      <c r="A59" s="113">
        <v>21</v>
      </c>
      <c r="B59" s="121">
        <v>3</v>
      </c>
      <c r="C59" s="130">
        <v>2</v>
      </c>
      <c r="D59" s="131">
        <v>1</v>
      </c>
      <c r="E59" s="131">
        <v>5</v>
      </c>
      <c r="F59" s="131">
        <v>2</v>
      </c>
      <c r="G59" s="132"/>
      <c r="H59" s="302" t="s">
        <v>195</v>
      </c>
      <c r="I59" s="299">
        <v>2414329</v>
      </c>
      <c r="J59" s="299">
        <v>173472.02</v>
      </c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300">
        <f>SUM(J59:U59)</f>
        <v>173472.02</v>
      </c>
      <c r="W59" s="300">
        <f>I59-V59</f>
        <v>2240856.98</v>
      </c>
      <c r="X59" s="282">
        <f t="shared" si="3"/>
        <v>1</v>
      </c>
    </row>
    <row r="60" spans="1:24 16305:16325" s="114" customFormat="1" hidden="1" x14ac:dyDescent="0.2">
      <c r="A60" s="113">
        <v>21</v>
      </c>
      <c r="B60" s="121">
        <v>3</v>
      </c>
      <c r="C60" s="130">
        <v>2</v>
      </c>
      <c r="D60" s="131">
        <v>1</v>
      </c>
      <c r="E60" s="131">
        <v>5</v>
      </c>
      <c r="F60" s="131">
        <v>3</v>
      </c>
      <c r="G60" s="132"/>
      <c r="H60" s="302" t="s">
        <v>196</v>
      </c>
      <c r="I60" s="299">
        <v>284887</v>
      </c>
      <c r="J60" s="299">
        <v>17227.8</v>
      </c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300">
        <f>SUM(J60:U60)</f>
        <v>17227.8</v>
      </c>
      <c r="W60" s="300">
        <f>I60-V60</f>
        <v>267659.2</v>
      </c>
      <c r="X60" s="282">
        <f t="shared" si="3"/>
        <v>1</v>
      </c>
    </row>
    <row r="61" spans="1:24 16305:16325" s="122" customFormat="1" hidden="1" x14ac:dyDescent="0.2">
      <c r="A61" s="113"/>
      <c r="B61" s="149"/>
      <c r="C61" s="149"/>
      <c r="D61" s="149"/>
      <c r="E61" s="149"/>
      <c r="F61" s="149"/>
      <c r="G61" s="149"/>
      <c r="H61" s="14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2">
        <v>3</v>
      </c>
    </row>
    <row r="62" spans="1:24 16305:16325" s="122" customFormat="1" ht="13.5" hidden="1" thickBot="1" x14ac:dyDescent="0.25">
      <c r="A62" s="113">
        <v>22</v>
      </c>
      <c r="B62" s="121">
        <v>1</v>
      </c>
      <c r="C62" s="318">
        <v>2</v>
      </c>
      <c r="D62" s="319">
        <v>2</v>
      </c>
      <c r="E62" s="319"/>
      <c r="F62" s="319"/>
      <c r="G62" s="320"/>
      <c r="H62" s="321" t="s">
        <v>197</v>
      </c>
      <c r="I62" s="322">
        <f t="shared" ref="I62:W62" si="19">I64+I74+I78+I82+I86+I92+I98+I111+I131</f>
        <v>15376741</v>
      </c>
      <c r="J62" s="322">
        <f t="shared" si="19"/>
        <v>96998.68</v>
      </c>
      <c r="K62" s="322">
        <f t="shared" si="19"/>
        <v>0</v>
      </c>
      <c r="L62" s="322">
        <f t="shared" si="19"/>
        <v>0</v>
      </c>
      <c r="M62" s="322">
        <f t="shared" si="19"/>
        <v>0</v>
      </c>
      <c r="N62" s="322">
        <f t="shared" si="19"/>
        <v>0</v>
      </c>
      <c r="O62" s="322">
        <f t="shared" si="19"/>
        <v>0</v>
      </c>
      <c r="P62" s="322">
        <f t="shared" si="19"/>
        <v>0</v>
      </c>
      <c r="Q62" s="322">
        <f t="shared" si="19"/>
        <v>0</v>
      </c>
      <c r="R62" s="322">
        <f t="shared" si="19"/>
        <v>0</v>
      </c>
      <c r="S62" s="322">
        <f t="shared" si="19"/>
        <v>0</v>
      </c>
      <c r="T62" s="322">
        <f t="shared" si="19"/>
        <v>0</v>
      </c>
      <c r="U62" s="322">
        <f t="shared" si="19"/>
        <v>0</v>
      </c>
      <c r="V62" s="322">
        <f t="shared" si="19"/>
        <v>96998.68</v>
      </c>
      <c r="W62" s="322">
        <f t="shared" si="19"/>
        <v>15279742.32</v>
      </c>
      <c r="X62" s="282">
        <f t="shared" si="3"/>
        <v>1</v>
      </c>
    </row>
    <row r="63" spans="1:24 16305:16325" s="122" customFormat="1" hidden="1" x14ac:dyDescent="0.2">
      <c r="A63" s="113"/>
      <c r="B63" s="149"/>
      <c r="C63" s="149"/>
      <c r="D63" s="149"/>
      <c r="E63" s="149"/>
      <c r="F63" s="149"/>
      <c r="G63" s="149"/>
      <c r="H63" s="14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2">
        <v>3</v>
      </c>
    </row>
    <row r="64" spans="1:24 16305:16325" s="122" customFormat="1" x14ac:dyDescent="0.2">
      <c r="A64" s="113">
        <v>22</v>
      </c>
      <c r="B64" s="121">
        <v>2</v>
      </c>
      <c r="C64" s="292">
        <v>2</v>
      </c>
      <c r="D64" s="293">
        <v>2</v>
      </c>
      <c r="E64" s="293">
        <v>1</v>
      </c>
      <c r="F64" s="323"/>
      <c r="G64" s="324"/>
      <c r="H64" s="295" t="s">
        <v>198</v>
      </c>
      <c r="I64" s="296">
        <f t="shared" ref="I64:W64" si="20">+I65+I66+I67+I68+I69+I71+I72</f>
        <v>1719850</v>
      </c>
      <c r="J64" s="296">
        <f t="shared" si="20"/>
        <v>96998.68</v>
      </c>
      <c r="K64" s="296">
        <f t="shared" si="20"/>
        <v>0</v>
      </c>
      <c r="L64" s="296">
        <f t="shared" si="20"/>
        <v>0</v>
      </c>
      <c r="M64" s="296">
        <f t="shared" si="20"/>
        <v>0</v>
      </c>
      <c r="N64" s="296">
        <f t="shared" si="20"/>
        <v>0</v>
      </c>
      <c r="O64" s="296">
        <f t="shared" si="20"/>
        <v>0</v>
      </c>
      <c r="P64" s="296">
        <f t="shared" si="20"/>
        <v>0</v>
      </c>
      <c r="Q64" s="296">
        <f t="shared" si="20"/>
        <v>0</v>
      </c>
      <c r="R64" s="296">
        <f t="shared" si="20"/>
        <v>0</v>
      </c>
      <c r="S64" s="296">
        <f t="shared" si="20"/>
        <v>0</v>
      </c>
      <c r="T64" s="296">
        <f t="shared" si="20"/>
        <v>0</v>
      </c>
      <c r="U64" s="296">
        <f t="shared" si="20"/>
        <v>0</v>
      </c>
      <c r="V64" s="296">
        <f t="shared" si="20"/>
        <v>96998.68</v>
      </c>
      <c r="W64" s="296">
        <f t="shared" si="20"/>
        <v>1622851.32</v>
      </c>
      <c r="X64" s="282">
        <f t="shared" si="3"/>
        <v>1</v>
      </c>
    </row>
    <row r="65" spans="1:24" s="122" customFormat="1" hidden="1" x14ac:dyDescent="0.2">
      <c r="A65" s="113">
        <v>22</v>
      </c>
      <c r="B65" s="121">
        <v>3</v>
      </c>
      <c r="C65" s="126">
        <v>2</v>
      </c>
      <c r="D65" s="127">
        <v>2</v>
      </c>
      <c r="E65" s="127">
        <v>1</v>
      </c>
      <c r="F65" s="127">
        <v>2</v>
      </c>
      <c r="G65" s="325"/>
      <c r="H65" s="306" t="s">
        <v>199</v>
      </c>
      <c r="I65" s="299">
        <v>10000</v>
      </c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300">
        <f>SUM(J65:U65)</f>
        <v>0</v>
      </c>
      <c r="W65" s="300">
        <f>I65-V65</f>
        <v>10000</v>
      </c>
      <c r="X65" s="282">
        <f t="shared" si="3"/>
        <v>1</v>
      </c>
    </row>
    <row r="66" spans="1:24" s="122" customFormat="1" hidden="1" x14ac:dyDescent="0.2">
      <c r="A66" s="113">
        <v>22</v>
      </c>
      <c r="B66" s="121">
        <v>3</v>
      </c>
      <c r="C66" s="126">
        <v>2</v>
      </c>
      <c r="D66" s="127">
        <v>2</v>
      </c>
      <c r="E66" s="127">
        <v>1</v>
      </c>
      <c r="F66" s="127">
        <v>3</v>
      </c>
      <c r="G66" s="325"/>
      <c r="H66" s="306" t="s">
        <v>200</v>
      </c>
      <c r="I66" s="299">
        <v>1100000</v>
      </c>
      <c r="J66" s="299">
        <v>81325.73</v>
      </c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300">
        <f>SUM(J66:U66)</f>
        <v>81325.73</v>
      </c>
      <c r="W66" s="300">
        <f>I66-V66</f>
        <v>1018674.27</v>
      </c>
      <c r="X66" s="282">
        <f t="shared" si="3"/>
        <v>1</v>
      </c>
    </row>
    <row r="67" spans="1:24" s="122" customFormat="1" hidden="1" x14ac:dyDescent="0.2">
      <c r="A67" s="113">
        <v>22</v>
      </c>
      <c r="B67" s="121">
        <v>3</v>
      </c>
      <c r="C67" s="126">
        <v>2</v>
      </c>
      <c r="D67" s="127">
        <v>2</v>
      </c>
      <c r="E67" s="127">
        <v>1</v>
      </c>
      <c r="F67" s="127">
        <v>4</v>
      </c>
      <c r="G67" s="325"/>
      <c r="H67" s="306" t="s">
        <v>201</v>
      </c>
      <c r="I67" s="299">
        <v>30000</v>
      </c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300">
        <f>SUM(J67:U67)</f>
        <v>0</v>
      </c>
      <c r="W67" s="300">
        <f>I67-V67</f>
        <v>30000</v>
      </c>
      <c r="X67" s="282">
        <f t="shared" si="3"/>
        <v>1</v>
      </c>
    </row>
    <row r="68" spans="1:24" s="122" customFormat="1" hidden="1" x14ac:dyDescent="0.2">
      <c r="A68" s="113">
        <v>22</v>
      </c>
      <c r="B68" s="121">
        <v>3</v>
      </c>
      <c r="C68" s="126">
        <v>2</v>
      </c>
      <c r="D68" s="127">
        <v>2</v>
      </c>
      <c r="E68" s="127">
        <v>1</v>
      </c>
      <c r="F68" s="127">
        <v>5</v>
      </c>
      <c r="G68" s="325"/>
      <c r="H68" s="306" t="s">
        <v>202</v>
      </c>
      <c r="I68" s="299">
        <v>140000</v>
      </c>
      <c r="J68" s="299">
        <v>12594.55</v>
      </c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300">
        <f>SUM(J68:U68)</f>
        <v>12594.55</v>
      </c>
      <c r="W68" s="300">
        <f>I68-V68</f>
        <v>127405.45</v>
      </c>
      <c r="X68" s="282">
        <f t="shared" si="3"/>
        <v>1</v>
      </c>
    </row>
    <row r="69" spans="1:24" s="114" customFormat="1" hidden="1" x14ac:dyDescent="0.2">
      <c r="A69" s="291">
        <v>22</v>
      </c>
      <c r="B69" s="129">
        <v>3</v>
      </c>
      <c r="C69" s="292">
        <v>2</v>
      </c>
      <c r="D69" s="293">
        <v>2</v>
      </c>
      <c r="E69" s="293">
        <v>1</v>
      </c>
      <c r="F69" s="293">
        <v>6</v>
      </c>
      <c r="G69" s="294"/>
      <c r="H69" s="295" t="s">
        <v>203</v>
      </c>
      <c r="I69" s="296">
        <f t="shared" ref="I69:W69" si="21">I70</f>
        <v>400000</v>
      </c>
      <c r="J69" s="296">
        <f t="shared" si="21"/>
        <v>0</v>
      </c>
      <c r="K69" s="296">
        <f t="shared" si="21"/>
        <v>0</v>
      </c>
      <c r="L69" s="296">
        <f t="shared" si="21"/>
        <v>0</v>
      </c>
      <c r="M69" s="296">
        <f t="shared" si="21"/>
        <v>0</v>
      </c>
      <c r="N69" s="296">
        <f t="shared" si="21"/>
        <v>0</v>
      </c>
      <c r="O69" s="296">
        <f t="shared" si="21"/>
        <v>0</v>
      </c>
      <c r="P69" s="296">
        <f t="shared" si="21"/>
        <v>0</v>
      </c>
      <c r="Q69" s="296">
        <f t="shared" si="21"/>
        <v>0</v>
      </c>
      <c r="R69" s="296">
        <f t="shared" si="21"/>
        <v>0</v>
      </c>
      <c r="S69" s="296">
        <f t="shared" si="21"/>
        <v>0</v>
      </c>
      <c r="T69" s="296">
        <f t="shared" si="21"/>
        <v>0</v>
      </c>
      <c r="U69" s="296">
        <f t="shared" si="21"/>
        <v>0</v>
      </c>
      <c r="V69" s="296">
        <f t="shared" si="21"/>
        <v>0</v>
      </c>
      <c r="W69" s="296">
        <f t="shared" si="21"/>
        <v>400000</v>
      </c>
      <c r="X69" s="282">
        <f t="shared" si="3"/>
        <v>1</v>
      </c>
    </row>
    <row r="70" spans="1:24" s="122" customFormat="1" hidden="1" x14ac:dyDescent="0.2">
      <c r="A70" s="113">
        <v>22</v>
      </c>
      <c r="B70" s="121">
        <v>4</v>
      </c>
      <c r="C70" s="126">
        <v>2</v>
      </c>
      <c r="D70" s="127">
        <v>2</v>
      </c>
      <c r="E70" s="127">
        <v>1</v>
      </c>
      <c r="F70" s="127">
        <v>6</v>
      </c>
      <c r="G70" s="325" t="s">
        <v>154</v>
      </c>
      <c r="H70" s="306" t="s">
        <v>204</v>
      </c>
      <c r="I70" s="299">
        <v>400000</v>
      </c>
      <c r="J70" s="326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300">
        <f>SUM(J70:U70)</f>
        <v>0</v>
      </c>
      <c r="W70" s="300">
        <f>I70-V70</f>
        <v>400000</v>
      </c>
      <c r="X70" s="282">
        <f t="shared" si="3"/>
        <v>1</v>
      </c>
    </row>
    <row r="71" spans="1:24" s="122" customFormat="1" hidden="1" x14ac:dyDescent="0.2">
      <c r="A71" s="113">
        <v>22</v>
      </c>
      <c r="B71" s="121">
        <v>3</v>
      </c>
      <c r="C71" s="126">
        <v>2</v>
      </c>
      <c r="D71" s="127">
        <v>2</v>
      </c>
      <c r="E71" s="127">
        <v>1</v>
      </c>
      <c r="F71" s="127">
        <v>7</v>
      </c>
      <c r="G71" s="325"/>
      <c r="H71" s="306" t="s">
        <v>205</v>
      </c>
      <c r="I71" s="299">
        <v>10000</v>
      </c>
      <c r="J71" s="299">
        <v>594.4</v>
      </c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300">
        <f>SUM(J71:U71)</f>
        <v>594.4</v>
      </c>
      <c r="W71" s="300">
        <f>I71-V71</f>
        <v>9405.6</v>
      </c>
      <c r="X71" s="282">
        <f t="shared" si="3"/>
        <v>1</v>
      </c>
    </row>
    <row r="72" spans="1:24" s="122" customFormat="1" hidden="1" x14ac:dyDescent="0.2">
      <c r="A72" s="113">
        <v>22</v>
      </c>
      <c r="B72" s="121">
        <v>3</v>
      </c>
      <c r="C72" s="126">
        <v>2</v>
      </c>
      <c r="D72" s="127">
        <v>2</v>
      </c>
      <c r="E72" s="127">
        <v>1</v>
      </c>
      <c r="F72" s="127">
        <v>8</v>
      </c>
      <c r="G72" s="325"/>
      <c r="H72" s="306" t="s">
        <v>206</v>
      </c>
      <c r="I72" s="299">
        <v>29850</v>
      </c>
      <c r="J72" s="299">
        <v>2484</v>
      </c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300">
        <f>SUM(J72:U72)</f>
        <v>2484</v>
      </c>
      <c r="W72" s="300">
        <f>I72-V72</f>
        <v>27366</v>
      </c>
      <c r="X72" s="282">
        <f t="shared" si="3"/>
        <v>1</v>
      </c>
    </row>
    <row r="73" spans="1:24" s="122" customFormat="1" hidden="1" x14ac:dyDescent="0.2">
      <c r="A73" s="113"/>
      <c r="B73" s="149"/>
      <c r="C73" s="149"/>
      <c r="D73" s="149"/>
      <c r="E73" s="149"/>
      <c r="F73" s="149"/>
      <c r="G73" s="149"/>
      <c r="H73" s="14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2">
        <v>3</v>
      </c>
    </row>
    <row r="74" spans="1:24" s="122" customFormat="1" x14ac:dyDescent="0.2">
      <c r="A74" s="113">
        <v>22</v>
      </c>
      <c r="B74" s="121">
        <v>2</v>
      </c>
      <c r="C74" s="292">
        <v>2</v>
      </c>
      <c r="D74" s="293">
        <v>2</v>
      </c>
      <c r="E74" s="293">
        <v>2</v>
      </c>
      <c r="F74" s="323"/>
      <c r="G74" s="324"/>
      <c r="H74" s="327" t="s">
        <v>207</v>
      </c>
      <c r="I74" s="296">
        <f t="shared" ref="I74:W74" si="22">I75+I76</f>
        <v>650000</v>
      </c>
      <c r="J74" s="296">
        <f t="shared" si="22"/>
        <v>0</v>
      </c>
      <c r="K74" s="296">
        <f t="shared" si="22"/>
        <v>0</v>
      </c>
      <c r="L74" s="296">
        <f t="shared" si="22"/>
        <v>0</v>
      </c>
      <c r="M74" s="296">
        <f t="shared" si="22"/>
        <v>0</v>
      </c>
      <c r="N74" s="296">
        <f t="shared" si="22"/>
        <v>0</v>
      </c>
      <c r="O74" s="296">
        <f t="shared" si="22"/>
        <v>0</v>
      </c>
      <c r="P74" s="296">
        <f t="shared" si="22"/>
        <v>0</v>
      </c>
      <c r="Q74" s="296">
        <f t="shared" si="22"/>
        <v>0</v>
      </c>
      <c r="R74" s="296">
        <f t="shared" si="22"/>
        <v>0</v>
      </c>
      <c r="S74" s="296">
        <f t="shared" si="22"/>
        <v>0</v>
      </c>
      <c r="T74" s="296">
        <f t="shared" si="22"/>
        <v>0</v>
      </c>
      <c r="U74" s="296">
        <f>U75+U76</f>
        <v>0</v>
      </c>
      <c r="V74" s="296">
        <f t="shared" si="22"/>
        <v>0</v>
      </c>
      <c r="W74" s="296">
        <f t="shared" si="22"/>
        <v>650000</v>
      </c>
      <c r="X74" s="282">
        <f t="shared" si="3"/>
        <v>1</v>
      </c>
    </row>
    <row r="75" spans="1:24" s="114" customFormat="1" hidden="1" x14ac:dyDescent="0.2">
      <c r="A75" s="113">
        <v>22</v>
      </c>
      <c r="B75" s="121">
        <v>3</v>
      </c>
      <c r="C75" s="130">
        <v>2</v>
      </c>
      <c r="D75" s="131">
        <v>2</v>
      </c>
      <c r="E75" s="131">
        <v>2</v>
      </c>
      <c r="F75" s="131">
        <v>1</v>
      </c>
      <c r="G75" s="132"/>
      <c r="H75" s="328" t="s">
        <v>208</v>
      </c>
      <c r="I75" s="299">
        <v>150000</v>
      </c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300">
        <f>SUM(J75:U75)</f>
        <v>0</v>
      </c>
      <c r="W75" s="300">
        <f>I75-V75</f>
        <v>150000</v>
      </c>
      <c r="X75" s="282">
        <f t="shared" si="3"/>
        <v>1</v>
      </c>
    </row>
    <row r="76" spans="1:24" s="114" customFormat="1" hidden="1" x14ac:dyDescent="0.2">
      <c r="A76" s="113">
        <v>22</v>
      </c>
      <c r="B76" s="121">
        <v>3</v>
      </c>
      <c r="C76" s="130">
        <v>2</v>
      </c>
      <c r="D76" s="131">
        <v>2</v>
      </c>
      <c r="E76" s="131">
        <v>2</v>
      </c>
      <c r="F76" s="131">
        <v>2</v>
      </c>
      <c r="G76" s="132"/>
      <c r="H76" s="328" t="s">
        <v>209</v>
      </c>
      <c r="I76" s="299">
        <v>500000</v>
      </c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300">
        <f>SUM(J76:U76)</f>
        <v>0</v>
      </c>
      <c r="W76" s="300">
        <f>I76-V76</f>
        <v>500000</v>
      </c>
      <c r="X76" s="282">
        <f t="shared" si="3"/>
        <v>1</v>
      </c>
    </row>
    <row r="77" spans="1:24" s="122" customFormat="1" hidden="1" x14ac:dyDescent="0.2">
      <c r="A77" s="113"/>
      <c r="B77" s="149"/>
      <c r="C77" s="149"/>
      <c r="D77" s="149"/>
      <c r="E77" s="149"/>
      <c r="F77" s="149"/>
      <c r="G77" s="149"/>
      <c r="H77" s="14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2">
        <v>3</v>
      </c>
    </row>
    <row r="78" spans="1:24" s="122" customFormat="1" x14ac:dyDescent="0.2">
      <c r="A78" s="113">
        <v>22</v>
      </c>
      <c r="B78" s="121">
        <v>2</v>
      </c>
      <c r="C78" s="292">
        <v>2</v>
      </c>
      <c r="D78" s="293">
        <v>2</v>
      </c>
      <c r="E78" s="293">
        <v>3</v>
      </c>
      <c r="F78" s="323"/>
      <c r="G78" s="324"/>
      <c r="H78" s="327" t="s">
        <v>210</v>
      </c>
      <c r="I78" s="296">
        <f t="shared" ref="I78:W78" si="23">I79+I80</f>
        <v>2600000</v>
      </c>
      <c r="J78" s="296">
        <f t="shared" si="23"/>
        <v>0</v>
      </c>
      <c r="K78" s="296">
        <f t="shared" si="23"/>
        <v>0</v>
      </c>
      <c r="L78" s="296">
        <f t="shared" si="23"/>
        <v>0</v>
      </c>
      <c r="M78" s="296">
        <f t="shared" si="23"/>
        <v>0</v>
      </c>
      <c r="N78" s="296">
        <f t="shared" si="23"/>
        <v>0</v>
      </c>
      <c r="O78" s="296">
        <f t="shared" si="23"/>
        <v>0</v>
      </c>
      <c r="P78" s="296">
        <f t="shared" si="23"/>
        <v>0</v>
      </c>
      <c r="Q78" s="296">
        <f t="shared" si="23"/>
        <v>0</v>
      </c>
      <c r="R78" s="296">
        <f t="shared" si="23"/>
        <v>0</v>
      </c>
      <c r="S78" s="296">
        <f t="shared" si="23"/>
        <v>0</v>
      </c>
      <c r="T78" s="296">
        <f t="shared" si="23"/>
        <v>0</v>
      </c>
      <c r="U78" s="296">
        <f t="shared" si="23"/>
        <v>0</v>
      </c>
      <c r="V78" s="296">
        <f t="shared" si="23"/>
        <v>0</v>
      </c>
      <c r="W78" s="296">
        <f t="shared" si="23"/>
        <v>2600000</v>
      </c>
      <c r="X78" s="282">
        <f t="shared" si="3"/>
        <v>1</v>
      </c>
    </row>
    <row r="79" spans="1:24" s="114" customFormat="1" hidden="1" x14ac:dyDescent="0.2">
      <c r="A79" s="113">
        <v>22</v>
      </c>
      <c r="B79" s="121">
        <v>3</v>
      </c>
      <c r="C79" s="126">
        <v>2</v>
      </c>
      <c r="D79" s="127">
        <v>2</v>
      </c>
      <c r="E79" s="127">
        <v>3</v>
      </c>
      <c r="F79" s="127">
        <v>1</v>
      </c>
      <c r="G79" s="325"/>
      <c r="H79" s="306" t="s">
        <v>211</v>
      </c>
      <c r="I79" s="299">
        <v>2000000</v>
      </c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300">
        <f>SUM(J79:U79)</f>
        <v>0</v>
      </c>
      <c r="W79" s="300">
        <f>I79-V79</f>
        <v>2000000</v>
      </c>
      <c r="X79" s="282">
        <f t="shared" si="3"/>
        <v>1</v>
      </c>
    </row>
    <row r="80" spans="1:24" s="114" customFormat="1" hidden="1" x14ac:dyDescent="0.2">
      <c r="A80" s="113">
        <v>22</v>
      </c>
      <c r="B80" s="121">
        <v>3</v>
      </c>
      <c r="C80" s="126">
        <v>2</v>
      </c>
      <c r="D80" s="127">
        <v>2</v>
      </c>
      <c r="E80" s="127">
        <v>3</v>
      </c>
      <c r="F80" s="127">
        <v>2</v>
      </c>
      <c r="G80" s="325"/>
      <c r="H80" s="306" t="s">
        <v>212</v>
      </c>
      <c r="I80" s="299">
        <v>600000</v>
      </c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300">
        <f>SUM(J80:U80)</f>
        <v>0</v>
      </c>
      <c r="W80" s="300">
        <f>I80-V80</f>
        <v>600000</v>
      </c>
      <c r="X80" s="282">
        <f t="shared" si="3"/>
        <v>1</v>
      </c>
    </row>
    <row r="81" spans="1:56" s="122" customFormat="1" hidden="1" x14ac:dyDescent="0.2">
      <c r="A81" s="113"/>
      <c r="B81" s="121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2">
        <v>3</v>
      </c>
    </row>
    <row r="82" spans="1:56" s="122" customFormat="1" x14ac:dyDescent="0.2">
      <c r="A82" s="113">
        <v>22</v>
      </c>
      <c r="B82" s="121">
        <v>2</v>
      </c>
      <c r="C82" s="292">
        <v>2</v>
      </c>
      <c r="D82" s="293">
        <v>2</v>
      </c>
      <c r="E82" s="293">
        <v>4</v>
      </c>
      <c r="F82" s="323"/>
      <c r="G82" s="324"/>
      <c r="H82" s="327" t="s">
        <v>213</v>
      </c>
      <c r="I82" s="296">
        <f t="shared" ref="I82:W82" si="24">I83+I84</f>
        <v>110000</v>
      </c>
      <c r="J82" s="296">
        <f t="shared" si="24"/>
        <v>0</v>
      </c>
      <c r="K82" s="296">
        <f t="shared" si="24"/>
        <v>0</v>
      </c>
      <c r="L82" s="296">
        <f t="shared" si="24"/>
        <v>0</v>
      </c>
      <c r="M82" s="296">
        <f t="shared" si="24"/>
        <v>0</v>
      </c>
      <c r="N82" s="296">
        <f t="shared" si="24"/>
        <v>0</v>
      </c>
      <c r="O82" s="296">
        <f t="shared" si="24"/>
        <v>0</v>
      </c>
      <c r="P82" s="296">
        <f t="shared" si="24"/>
        <v>0</v>
      </c>
      <c r="Q82" s="296">
        <f t="shared" si="24"/>
        <v>0</v>
      </c>
      <c r="R82" s="296">
        <f t="shared" si="24"/>
        <v>0</v>
      </c>
      <c r="S82" s="296">
        <f t="shared" si="24"/>
        <v>0</v>
      </c>
      <c r="T82" s="296">
        <f t="shared" si="24"/>
        <v>0</v>
      </c>
      <c r="U82" s="296">
        <f t="shared" si="24"/>
        <v>0</v>
      </c>
      <c r="V82" s="296">
        <f>U83+V84</f>
        <v>0</v>
      </c>
      <c r="W82" s="296">
        <f t="shared" si="24"/>
        <v>110000</v>
      </c>
      <c r="X82" s="282">
        <f t="shared" si="3"/>
        <v>1</v>
      </c>
    </row>
    <row r="83" spans="1:56" s="114" customFormat="1" hidden="1" x14ac:dyDescent="0.2">
      <c r="A83" s="113">
        <v>22</v>
      </c>
      <c r="B83" s="121">
        <v>3</v>
      </c>
      <c r="C83" s="130">
        <v>2</v>
      </c>
      <c r="D83" s="131">
        <v>2</v>
      </c>
      <c r="E83" s="131">
        <v>4</v>
      </c>
      <c r="F83" s="131">
        <v>1</v>
      </c>
      <c r="G83" s="132"/>
      <c r="H83" s="329" t="s">
        <v>347</v>
      </c>
      <c r="I83" s="299">
        <v>10000</v>
      </c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330"/>
      <c r="W83" s="300">
        <f>I83-U83</f>
        <v>10000</v>
      </c>
      <c r="X83" s="282">
        <f t="shared" ref="X83:X146" si="25">IF(SUM(I83:W83)&gt;=1,1,2)</f>
        <v>1</v>
      </c>
    </row>
    <row r="84" spans="1:56" s="114" customFormat="1" hidden="1" x14ac:dyDescent="0.2">
      <c r="A84" s="113">
        <v>22</v>
      </c>
      <c r="B84" s="121">
        <v>3</v>
      </c>
      <c r="C84" s="130">
        <v>2</v>
      </c>
      <c r="D84" s="131">
        <v>2</v>
      </c>
      <c r="E84" s="131">
        <v>4</v>
      </c>
      <c r="F84" s="131">
        <v>4</v>
      </c>
      <c r="G84" s="132"/>
      <c r="H84" s="329" t="s">
        <v>215</v>
      </c>
      <c r="I84" s="299">
        <v>100000</v>
      </c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300">
        <f>SUM(J84:U84)</f>
        <v>0</v>
      </c>
      <c r="W84" s="300">
        <f>I84-V84</f>
        <v>100000</v>
      </c>
      <c r="X84" s="282">
        <f t="shared" si="25"/>
        <v>1</v>
      </c>
    </row>
    <row r="85" spans="1:56" s="122" customFormat="1" hidden="1" x14ac:dyDescent="0.2">
      <c r="A85" s="113"/>
      <c r="B85" s="121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2">
        <v>3</v>
      </c>
    </row>
    <row r="86" spans="1:56" s="122" customFormat="1" x14ac:dyDescent="0.2">
      <c r="A86" s="113">
        <v>22</v>
      </c>
      <c r="B86" s="121">
        <v>2</v>
      </c>
      <c r="C86" s="292">
        <v>2</v>
      </c>
      <c r="D86" s="293">
        <v>2</v>
      </c>
      <c r="E86" s="293">
        <v>5</v>
      </c>
      <c r="F86" s="323"/>
      <c r="G86" s="324"/>
      <c r="H86" s="327" t="s">
        <v>216</v>
      </c>
      <c r="I86" s="296">
        <f t="shared" ref="I86:W86" si="26">SUM(I87:I90)</f>
        <v>575000</v>
      </c>
      <c r="J86" s="296">
        <f t="shared" si="26"/>
        <v>0</v>
      </c>
      <c r="K86" s="296">
        <f t="shared" si="26"/>
        <v>0</v>
      </c>
      <c r="L86" s="296">
        <f t="shared" si="26"/>
        <v>0</v>
      </c>
      <c r="M86" s="296">
        <f t="shared" si="26"/>
        <v>0</v>
      </c>
      <c r="N86" s="296">
        <f t="shared" si="26"/>
        <v>0</v>
      </c>
      <c r="O86" s="296">
        <f t="shared" si="26"/>
        <v>0</v>
      </c>
      <c r="P86" s="296">
        <f t="shared" si="26"/>
        <v>0</v>
      </c>
      <c r="Q86" s="296">
        <f t="shared" si="26"/>
        <v>0</v>
      </c>
      <c r="R86" s="296">
        <f t="shared" si="26"/>
        <v>0</v>
      </c>
      <c r="S86" s="296">
        <f t="shared" si="26"/>
        <v>0</v>
      </c>
      <c r="T86" s="296">
        <f t="shared" si="26"/>
        <v>0</v>
      </c>
      <c r="U86" s="296">
        <f t="shared" si="26"/>
        <v>0</v>
      </c>
      <c r="V86" s="296">
        <f t="shared" si="26"/>
        <v>0</v>
      </c>
      <c r="W86" s="296">
        <f t="shared" si="26"/>
        <v>575000</v>
      </c>
      <c r="X86" s="282">
        <f t="shared" si="25"/>
        <v>1</v>
      </c>
    </row>
    <row r="87" spans="1:56" s="114" customFormat="1" hidden="1" x14ac:dyDescent="0.2">
      <c r="A87" s="113">
        <v>22</v>
      </c>
      <c r="B87" s="121">
        <v>3</v>
      </c>
      <c r="C87" s="126">
        <v>2</v>
      </c>
      <c r="D87" s="127">
        <v>2</v>
      </c>
      <c r="E87" s="127">
        <v>5</v>
      </c>
      <c r="F87" s="127">
        <v>1</v>
      </c>
      <c r="G87" s="325"/>
      <c r="H87" s="306" t="s">
        <v>217</v>
      </c>
      <c r="I87" s="299">
        <v>100000</v>
      </c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300">
        <f>SUM(J87:U87)</f>
        <v>0</v>
      </c>
      <c r="W87" s="300">
        <f>I87-V87</f>
        <v>100000</v>
      </c>
      <c r="X87" s="282">
        <f t="shared" si="25"/>
        <v>1</v>
      </c>
    </row>
    <row r="88" spans="1:56" s="114" customFormat="1" hidden="1" x14ac:dyDescent="0.2">
      <c r="A88" s="113">
        <v>22</v>
      </c>
      <c r="B88" s="121">
        <v>3</v>
      </c>
      <c r="C88" s="126">
        <v>2</v>
      </c>
      <c r="D88" s="127">
        <v>2</v>
      </c>
      <c r="E88" s="127">
        <v>5</v>
      </c>
      <c r="F88" s="127">
        <v>4</v>
      </c>
      <c r="G88" s="325"/>
      <c r="H88" s="306" t="s">
        <v>218</v>
      </c>
      <c r="I88" s="299">
        <v>25000</v>
      </c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300">
        <f>I88-V88</f>
        <v>25000</v>
      </c>
      <c r="X88" s="282">
        <f t="shared" si="25"/>
        <v>1</v>
      </c>
    </row>
    <row r="89" spans="1:56" s="114" customFormat="1" hidden="1" x14ac:dyDescent="0.2">
      <c r="A89" s="113">
        <v>22</v>
      </c>
      <c r="B89" s="121">
        <v>3</v>
      </c>
      <c r="C89" s="126">
        <v>2</v>
      </c>
      <c r="D89" s="127">
        <v>2</v>
      </c>
      <c r="E89" s="127">
        <v>5</v>
      </c>
      <c r="F89" s="127">
        <v>8</v>
      </c>
      <c r="G89" s="325"/>
      <c r="H89" s="306" t="s">
        <v>343</v>
      </c>
      <c r="I89" s="299">
        <v>300000</v>
      </c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300">
        <f>SUM(J89:U89)</f>
        <v>0</v>
      </c>
      <c r="W89" s="300">
        <f>I89-V89</f>
        <v>300000</v>
      </c>
      <c r="X89" s="282">
        <f t="shared" si="25"/>
        <v>1</v>
      </c>
    </row>
    <row r="90" spans="1:56" s="114" customFormat="1" hidden="1" x14ac:dyDescent="0.2">
      <c r="A90" s="113">
        <v>22</v>
      </c>
      <c r="B90" s="121">
        <v>3</v>
      </c>
      <c r="C90" s="126">
        <v>2</v>
      </c>
      <c r="D90" s="127">
        <v>2</v>
      </c>
      <c r="E90" s="127">
        <v>5</v>
      </c>
      <c r="F90" s="127">
        <v>9</v>
      </c>
      <c r="G90" s="325"/>
      <c r="H90" s="306" t="s">
        <v>219</v>
      </c>
      <c r="I90" s="299">
        <v>150000</v>
      </c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300">
        <f>SUM(J90:U90)</f>
        <v>0</v>
      </c>
      <c r="W90" s="300">
        <f>I90-V90</f>
        <v>150000</v>
      </c>
      <c r="X90" s="282">
        <f t="shared" si="25"/>
        <v>1</v>
      </c>
    </row>
    <row r="91" spans="1:56" s="122" customFormat="1" hidden="1" x14ac:dyDescent="0.2">
      <c r="A91" s="113"/>
      <c r="B91" s="121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2">
        <v>3</v>
      </c>
    </row>
    <row r="92" spans="1:56" s="122" customFormat="1" x14ac:dyDescent="0.2">
      <c r="A92" s="113">
        <v>22</v>
      </c>
      <c r="B92" s="121">
        <v>2</v>
      </c>
      <c r="C92" s="292">
        <v>2</v>
      </c>
      <c r="D92" s="293">
        <v>2</v>
      </c>
      <c r="E92" s="293">
        <v>6</v>
      </c>
      <c r="F92" s="323"/>
      <c r="G92" s="324"/>
      <c r="H92" s="327" t="s">
        <v>220</v>
      </c>
      <c r="I92" s="296">
        <f t="shared" ref="I92:W92" si="27">SUM(I93:I96)</f>
        <v>3606328</v>
      </c>
      <c r="J92" s="296">
        <f t="shared" si="27"/>
        <v>0</v>
      </c>
      <c r="K92" s="296">
        <f t="shared" si="27"/>
        <v>0</v>
      </c>
      <c r="L92" s="296">
        <f t="shared" si="27"/>
        <v>0</v>
      </c>
      <c r="M92" s="296">
        <f t="shared" si="27"/>
        <v>0</v>
      </c>
      <c r="N92" s="296">
        <f t="shared" si="27"/>
        <v>0</v>
      </c>
      <c r="O92" s="296">
        <f t="shared" si="27"/>
        <v>0</v>
      </c>
      <c r="P92" s="296">
        <f t="shared" si="27"/>
        <v>0</v>
      </c>
      <c r="Q92" s="296">
        <f t="shared" si="27"/>
        <v>0</v>
      </c>
      <c r="R92" s="296">
        <f t="shared" si="27"/>
        <v>0</v>
      </c>
      <c r="S92" s="296">
        <f t="shared" si="27"/>
        <v>0</v>
      </c>
      <c r="T92" s="296">
        <f t="shared" si="27"/>
        <v>0</v>
      </c>
      <c r="U92" s="296">
        <f t="shared" si="27"/>
        <v>0</v>
      </c>
      <c r="V92" s="296">
        <f t="shared" si="27"/>
        <v>0</v>
      </c>
      <c r="W92" s="296">
        <f t="shared" si="27"/>
        <v>3606328</v>
      </c>
      <c r="X92" s="282">
        <f t="shared" si="25"/>
        <v>1</v>
      </c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</row>
    <row r="93" spans="1:56" s="114" customFormat="1" hidden="1" x14ac:dyDescent="0.2">
      <c r="A93" s="113">
        <v>22</v>
      </c>
      <c r="B93" s="121">
        <v>3</v>
      </c>
      <c r="C93" s="130">
        <v>2</v>
      </c>
      <c r="D93" s="131">
        <v>2</v>
      </c>
      <c r="E93" s="131">
        <v>6</v>
      </c>
      <c r="F93" s="131">
        <v>1</v>
      </c>
      <c r="G93" s="132"/>
      <c r="H93" s="329" t="s">
        <v>221</v>
      </c>
      <c r="I93" s="299">
        <v>60000</v>
      </c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300">
        <f>SUM(J93:U93)</f>
        <v>0</v>
      </c>
      <c r="W93" s="300">
        <f>I93-V93</f>
        <v>60000</v>
      </c>
      <c r="X93" s="282">
        <f t="shared" si="25"/>
        <v>1</v>
      </c>
    </row>
    <row r="94" spans="1:56" s="114" customFormat="1" hidden="1" x14ac:dyDescent="0.2">
      <c r="A94" s="113">
        <v>22</v>
      </c>
      <c r="B94" s="121">
        <v>3</v>
      </c>
      <c r="C94" s="130">
        <v>2</v>
      </c>
      <c r="D94" s="131">
        <v>2</v>
      </c>
      <c r="E94" s="131">
        <v>6</v>
      </c>
      <c r="F94" s="131">
        <v>2</v>
      </c>
      <c r="G94" s="132"/>
      <c r="H94" s="329" t="s">
        <v>222</v>
      </c>
      <c r="I94" s="299">
        <v>500000</v>
      </c>
      <c r="J94" s="299">
        <v>0</v>
      </c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300">
        <f>SUM(J94:U94)</f>
        <v>0</v>
      </c>
      <c r="W94" s="300">
        <f>I94-V94</f>
        <v>500000</v>
      </c>
      <c r="X94" s="282">
        <f t="shared" si="25"/>
        <v>1</v>
      </c>
    </row>
    <row r="95" spans="1:56" s="114" customFormat="1" hidden="1" x14ac:dyDescent="0.2">
      <c r="A95" s="113">
        <v>22</v>
      </c>
      <c r="B95" s="121">
        <v>3</v>
      </c>
      <c r="C95" s="130">
        <v>2</v>
      </c>
      <c r="D95" s="131">
        <v>2</v>
      </c>
      <c r="E95" s="131">
        <v>6</v>
      </c>
      <c r="F95" s="131">
        <v>3</v>
      </c>
      <c r="G95" s="132"/>
      <c r="H95" s="329" t="s">
        <v>223</v>
      </c>
      <c r="I95" s="299">
        <v>3036328</v>
      </c>
      <c r="J95" s="299"/>
      <c r="K95" s="299"/>
      <c r="L95" s="299"/>
      <c r="M95" s="299"/>
      <c r="N95" s="299"/>
      <c r="O95" s="299"/>
      <c r="P95" s="326"/>
      <c r="Q95" s="299"/>
      <c r="R95" s="299"/>
      <c r="S95" s="299"/>
      <c r="T95" s="299"/>
      <c r="U95" s="299"/>
      <c r="V95" s="300">
        <f>SUM(J95:U95)</f>
        <v>0</v>
      </c>
      <c r="W95" s="300">
        <f>I95-V95</f>
        <v>3036328</v>
      </c>
      <c r="X95" s="282">
        <f t="shared" si="25"/>
        <v>1</v>
      </c>
    </row>
    <row r="96" spans="1:56" s="114" customFormat="1" hidden="1" x14ac:dyDescent="0.2">
      <c r="A96" s="113">
        <v>22</v>
      </c>
      <c r="B96" s="121">
        <v>3</v>
      </c>
      <c r="C96" s="130">
        <v>2</v>
      </c>
      <c r="D96" s="131">
        <v>2</v>
      </c>
      <c r="E96" s="131">
        <v>6</v>
      </c>
      <c r="F96" s="131">
        <v>9</v>
      </c>
      <c r="G96" s="132"/>
      <c r="H96" s="329" t="s">
        <v>224</v>
      </c>
      <c r="I96" s="299">
        <v>10000</v>
      </c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300">
        <f>SUM(J96:U96)</f>
        <v>0</v>
      </c>
      <c r="W96" s="300">
        <f>I96-V96</f>
        <v>10000</v>
      </c>
      <c r="X96" s="282">
        <f t="shared" si="25"/>
        <v>1</v>
      </c>
    </row>
    <row r="97" spans="1:24" s="122" customFormat="1" hidden="1" x14ac:dyDescent="0.2">
      <c r="A97" s="113"/>
      <c r="B97" s="149"/>
      <c r="C97" s="149"/>
      <c r="D97" s="149"/>
      <c r="E97" s="149"/>
      <c r="F97" s="149"/>
      <c r="G97" s="149"/>
      <c r="H97" s="14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2">
        <v>3</v>
      </c>
    </row>
    <row r="98" spans="1:24" s="122" customFormat="1" ht="21" x14ac:dyDescent="0.2">
      <c r="A98" s="113">
        <v>22</v>
      </c>
      <c r="B98" s="121">
        <v>2</v>
      </c>
      <c r="C98" s="292">
        <v>2</v>
      </c>
      <c r="D98" s="293">
        <v>2</v>
      </c>
      <c r="E98" s="293">
        <v>7</v>
      </c>
      <c r="F98" s="323"/>
      <c r="G98" s="324"/>
      <c r="H98" s="332" t="s">
        <v>225</v>
      </c>
      <c r="I98" s="296">
        <f t="shared" ref="I98:W98" si="28">I99+I106</f>
        <v>1563000</v>
      </c>
      <c r="J98" s="296">
        <f t="shared" si="28"/>
        <v>0</v>
      </c>
      <c r="K98" s="296">
        <f t="shared" si="28"/>
        <v>0</v>
      </c>
      <c r="L98" s="296">
        <f t="shared" si="28"/>
        <v>0</v>
      </c>
      <c r="M98" s="296">
        <f t="shared" si="28"/>
        <v>0</v>
      </c>
      <c r="N98" s="296">
        <f t="shared" si="28"/>
        <v>0</v>
      </c>
      <c r="O98" s="296">
        <f t="shared" si="28"/>
        <v>0</v>
      </c>
      <c r="P98" s="296">
        <f t="shared" si="28"/>
        <v>0</v>
      </c>
      <c r="Q98" s="296">
        <f t="shared" si="28"/>
        <v>0</v>
      </c>
      <c r="R98" s="296">
        <f t="shared" si="28"/>
        <v>0</v>
      </c>
      <c r="S98" s="296">
        <f t="shared" si="28"/>
        <v>0</v>
      </c>
      <c r="T98" s="296">
        <f t="shared" si="28"/>
        <v>0</v>
      </c>
      <c r="U98" s="296">
        <f t="shared" si="28"/>
        <v>0</v>
      </c>
      <c r="V98" s="296">
        <f t="shared" si="28"/>
        <v>0</v>
      </c>
      <c r="W98" s="296">
        <f t="shared" si="28"/>
        <v>1563000</v>
      </c>
      <c r="X98" s="282">
        <f t="shared" si="25"/>
        <v>1</v>
      </c>
    </row>
    <row r="99" spans="1:24" s="114" customFormat="1" hidden="1" x14ac:dyDescent="0.2">
      <c r="A99" s="113">
        <v>22</v>
      </c>
      <c r="B99" s="129">
        <v>3</v>
      </c>
      <c r="C99" s="292">
        <v>2</v>
      </c>
      <c r="D99" s="293">
        <v>2</v>
      </c>
      <c r="E99" s="293">
        <v>7</v>
      </c>
      <c r="F99" s="293">
        <v>1</v>
      </c>
      <c r="G99" s="294" t="s">
        <v>113</v>
      </c>
      <c r="H99" s="295" t="s">
        <v>226</v>
      </c>
      <c r="I99" s="296">
        <f t="shared" ref="I99:W99" si="29">SUM(I100:I104)</f>
        <v>630000</v>
      </c>
      <c r="J99" s="296">
        <f t="shared" si="29"/>
        <v>0</v>
      </c>
      <c r="K99" s="296">
        <f t="shared" si="29"/>
        <v>0</v>
      </c>
      <c r="L99" s="296">
        <f t="shared" si="29"/>
        <v>0</v>
      </c>
      <c r="M99" s="296">
        <f t="shared" si="29"/>
        <v>0</v>
      </c>
      <c r="N99" s="296">
        <f t="shared" si="29"/>
        <v>0</v>
      </c>
      <c r="O99" s="296">
        <f t="shared" si="29"/>
        <v>0</v>
      </c>
      <c r="P99" s="296">
        <f t="shared" si="29"/>
        <v>0</v>
      </c>
      <c r="Q99" s="296">
        <f t="shared" si="29"/>
        <v>0</v>
      </c>
      <c r="R99" s="296">
        <f t="shared" si="29"/>
        <v>0</v>
      </c>
      <c r="S99" s="296">
        <f t="shared" si="29"/>
        <v>0</v>
      </c>
      <c r="T99" s="296">
        <f t="shared" si="29"/>
        <v>0</v>
      </c>
      <c r="U99" s="296">
        <f t="shared" si="29"/>
        <v>0</v>
      </c>
      <c r="V99" s="296">
        <f t="shared" si="29"/>
        <v>0</v>
      </c>
      <c r="W99" s="296">
        <f t="shared" si="29"/>
        <v>630000</v>
      </c>
      <c r="X99" s="282">
        <f t="shared" si="25"/>
        <v>1</v>
      </c>
    </row>
    <row r="100" spans="1:24" s="122" customFormat="1" hidden="1" x14ac:dyDescent="0.2">
      <c r="A100" s="113">
        <v>22</v>
      </c>
      <c r="B100" s="121">
        <v>4</v>
      </c>
      <c r="C100" s="126">
        <v>2</v>
      </c>
      <c r="D100" s="127">
        <v>2</v>
      </c>
      <c r="E100" s="127">
        <v>7</v>
      </c>
      <c r="F100" s="127">
        <v>1</v>
      </c>
      <c r="G100" s="128" t="s">
        <v>154</v>
      </c>
      <c r="H100" s="333" t="s">
        <v>227</v>
      </c>
      <c r="I100" s="299">
        <v>100000</v>
      </c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300">
        <f>SUM(J100:U100)</f>
        <v>0</v>
      </c>
      <c r="W100" s="300">
        <f>I100-V100</f>
        <v>100000</v>
      </c>
      <c r="X100" s="282">
        <f t="shared" si="25"/>
        <v>1</v>
      </c>
    </row>
    <row r="101" spans="1:24" s="122" customFormat="1" hidden="1" x14ac:dyDescent="0.2">
      <c r="A101" s="113">
        <v>22</v>
      </c>
      <c r="B101" s="121">
        <v>4</v>
      </c>
      <c r="C101" s="126">
        <v>2</v>
      </c>
      <c r="D101" s="127">
        <v>2</v>
      </c>
      <c r="E101" s="127">
        <v>7</v>
      </c>
      <c r="F101" s="127">
        <v>1</v>
      </c>
      <c r="G101" s="128" t="s">
        <v>158</v>
      </c>
      <c r="H101" s="306" t="s">
        <v>228</v>
      </c>
      <c r="I101" s="299">
        <v>500000</v>
      </c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300">
        <f>SUM(J101:U101)</f>
        <v>0</v>
      </c>
      <c r="W101" s="300">
        <f>I101-V101</f>
        <v>500000</v>
      </c>
      <c r="X101" s="282">
        <f t="shared" si="25"/>
        <v>1</v>
      </c>
    </row>
    <row r="102" spans="1:24" s="122" customFormat="1" hidden="1" x14ac:dyDescent="0.2">
      <c r="A102" s="113">
        <v>22</v>
      </c>
      <c r="B102" s="121">
        <v>4</v>
      </c>
      <c r="C102" s="126">
        <v>2</v>
      </c>
      <c r="D102" s="127">
        <v>2</v>
      </c>
      <c r="E102" s="127">
        <v>7</v>
      </c>
      <c r="F102" s="127">
        <v>1</v>
      </c>
      <c r="G102" s="128" t="s">
        <v>178</v>
      </c>
      <c r="H102" s="306" t="s">
        <v>229</v>
      </c>
      <c r="I102" s="299">
        <v>5000</v>
      </c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300">
        <f>SUM(J102:U102)</f>
        <v>0</v>
      </c>
      <c r="W102" s="300">
        <f>I102-V102</f>
        <v>5000</v>
      </c>
      <c r="X102" s="282">
        <f t="shared" si="25"/>
        <v>1</v>
      </c>
    </row>
    <row r="103" spans="1:24" s="122" customFormat="1" hidden="1" x14ac:dyDescent="0.2">
      <c r="A103" s="113">
        <v>22</v>
      </c>
      <c r="B103" s="121">
        <v>4</v>
      </c>
      <c r="C103" s="126">
        <v>2</v>
      </c>
      <c r="D103" s="127">
        <v>2</v>
      </c>
      <c r="E103" s="127">
        <v>7</v>
      </c>
      <c r="F103" s="127">
        <v>1</v>
      </c>
      <c r="G103" s="128" t="s">
        <v>230</v>
      </c>
      <c r="H103" s="306" t="s">
        <v>231</v>
      </c>
      <c r="I103" s="299">
        <v>25000</v>
      </c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300">
        <f>SUM(J103:U103)</f>
        <v>0</v>
      </c>
      <c r="W103" s="300">
        <f>I103-V103</f>
        <v>25000</v>
      </c>
      <c r="X103" s="282">
        <f t="shared" si="25"/>
        <v>1</v>
      </c>
    </row>
    <row r="104" spans="1:24" s="122" customFormat="1" hidden="1" x14ac:dyDescent="0.2">
      <c r="A104" s="113">
        <v>22</v>
      </c>
      <c r="B104" s="121">
        <v>4</v>
      </c>
      <c r="C104" s="126">
        <v>2</v>
      </c>
      <c r="D104" s="127">
        <v>2</v>
      </c>
      <c r="E104" s="127">
        <v>7</v>
      </c>
      <c r="F104" s="127">
        <v>1</v>
      </c>
      <c r="G104" s="128" t="s">
        <v>232</v>
      </c>
      <c r="H104" s="306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300">
        <f>SUM(J104:U104)</f>
        <v>0</v>
      </c>
      <c r="W104" s="300">
        <f>I104-V104</f>
        <v>0</v>
      </c>
      <c r="X104" s="282">
        <f t="shared" si="25"/>
        <v>2</v>
      </c>
    </row>
    <row r="105" spans="1:24" s="122" customFormat="1" hidden="1" x14ac:dyDescent="0.2">
      <c r="A105" s="113"/>
      <c r="B105" s="149"/>
      <c r="C105" s="149"/>
      <c r="D105" s="149"/>
      <c r="E105" s="149"/>
      <c r="F105" s="149"/>
      <c r="G105" s="149"/>
      <c r="H105" s="14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2">
        <v>3</v>
      </c>
    </row>
    <row r="106" spans="1:24" s="114" customFormat="1" hidden="1" x14ac:dyDescent="0.2">
      <c r="A106" s="113">
        <v>22</v>
      </c>
      <c r="B106" s="129">
        <v>3</v>
      </c>
      <c r="C106" s="292">
        <v>2</v>
      </c>
      <c r="D106" s="293">
        <v>2</v>
      </c>
      <c r="E106" s="293">
        <v>7</v>
      </c>
      <c r="F106" s="293">
        <v>2</v>
      </c>
      <c r="G106" s="294"/>
      <c r="H106" s="295" t="s">
        <v>233</v>
      </c>
      <c r="I106" s="296">
        <f t="shared" ref="I106:W106" si="30">SUM(I107:I110)</f>
        <v>933000</v>
      </c>
      <c r="J106" s="296">
        <f t="shared" si="30"/>
        <v>0</v>
      </c>
      <c r="K106" s="296">
        <f t="shared" si="30"/>
        <v>0</v>
      </c>
      <c r="L106" s="296">
        <f t="shared" si="30"/>
        <v>0</v>
      </c>
      <c r="M106" s="296">
        <f t="shared" si="30"/>
        <v>0</v>
      </c>
      <c r="N106" s="296">
        <f t="shared" si="30"/>
        <v>0</v>
      </c>
      <c r="O106" s="296">
        <f t="shared" si="30"/>
        <v>0</v>
      </c>
      <c r="P106" s="296">
        <f t="shared" si="30"/>
        <v>0</v>
      </c>
      <c r="Q106" s="296">
        <f t="shared" si="30"/>
        <v>0</v>
      </c>
      <c r="R106" s="296">
        <f t="shared" si="30"/>
        <v>0</v>
      </c>
      <c r="S106" s="296">
        <f t="shared" si="30"/>
        <v>0</v>
      </c>
      <c r="T106" s="296">
        <f t="shared" si="30"/>
        <v>0</v>
      </c>
      <c r="U106" s="296">
        <f t="shared" si="30"/>
        <v>0</v>
      </c>
      <c r="V106" s="296">
        <f t="shared" si="30"/>
        <v>0</v>
      </c>
      <c r="W106" s="296">
        <f t="shared" si="30"/>
        <v>933000</v>
      </c>
      <c r="X106" s="282">
        <f t="shared" si="25"/>
        <v>1</v>
      </c>
    </row>
    <row r="107" spans="1:24" s="122" customFormat="1" hidden="1" x14ac:dyDescent="0.2">
      <c r="A107" s="113">
        <v>22</v>
      </c>
      <c r="B107" s="121">
        <v>4</v>
      </c>
      <c r="C107" s="126">
        <v>2</v>
      </c>
      <c r="D107" s="127">
        <v>2</v>
      </c>
      <c r="E107" s="127">
        <v>7</v>
      </c>
      <c r="F107" s="127">
        <v>2</v>
      </c>
      <c r="G107" s="128" t="s">
        <v>154</v>
      </c>
      <c r="H107" s="306" t="s">
        <v>234</v>
      </c>
      <c r="I107" s="299">
        <v>115000</v>
      </c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300">
        <f>SUM(J107:U107)</f>
        <v>0</v>
      </c>
      <c r="W107" s="300">
        <f>I107-V107</f>
        <v>115000</v>
      </c>
      <c r="X107" s="282">
        <f t="shared" si="25"/>
        <v>1</v>
      </c>
    </row>
    <row r="108" spans="1:24" s="122" customFormat="1" hidden="1" x14ac:dyDescent="0.2">
      <c r="A108" s="113">
        <v>22</v>
      </c>
      <c r="B108" s="121">
        <v>4</v>
      </c>
      <c r="C108" s="126">
        <v>2</v>
      </c>
      <c r="D108" s="127">
        <v>2</v>
      </c>
      <c r="E108" s="127">
        <v>7</v>
      </c>
      <c r="F108" s="127">
        <v>2</v>
      </c>
      <c r="G108" s="128" t="s">
        <v>158</v>
      </c>
      <c r="H108" s="306" t="s">
        <v>235</v>
      </c>
      <c r="I108" s="299">
        <v>65000</v>
      </c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300">
        <f>SUM(J108:U108)</f>
        <v>0</v>
      </c>
      <c r="W108" s="300">
        <f>I108-V108</f>
        <v>65000</v>
      </c>
      <c r="X108" s="282">
        <f t="shared" si="25"/>
        <v>1</v>
      </c>
    </row>
    <row r="109" spans="1:24" s="122" customFormat="1" hidden="1" x14ac:dyDescent="0.2">
      <c r="A109" s="113">
        <v>22</v>
      </c>
      <c r="B109" s="121">
        <v>4</v>
      </c>
      <c r="C109" s="126">
        <v>2</v>
      </c>
      <c r="D109" s="127">
        <v>2</v>
      </c>
      <c r="E109" s="127">
        <v>7</v>
      </c>
      <c r="F109" s="127">
        <v>2</v>
      </c>
      <c r="G109" s="128" t="s">
        <v>164</v>
      </c>
      <c r="H109" s="306" t="s">
        <v>236</v>
      </c>
      <c r="I109" s="299">
        <v>3000</v>
      </c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300">
        <f>SUM(J109:U109)</f>
        <v>0</v>
      </c>
      <c r="W109" s="300">
        <f>I109-V109</f>
        <v>3000</v>
      </c>
      <c r="X109" s="282">
        <f t="shared" si="25"/>
        <v>1</v>
      </c>
    </row>
    <row r="110" spans="1:24" s="122" customFormat="1" hidden="1" x14ac:dyDescent="0.2">
      <c r="A110" s="113">
        <v>22</v>
      </c>
      <c r="B110" s="121">
        <v>4</v>
      </c>
      <c r="C110" s="126">
        <v>2</v>
      </c>
      <c r="D110" s="127">
        <v>2</v>
      </c>
      <c r="E110" s="127">
        <v>7</v>
      </c>
      <c r="F110" s="127">
        <v>2</v>
      </c>
      <c r="G110" s="128" t="s">
        <v>178</v>
      </c>
      <c r="H110" s="306" t="s">
        <v>237</v>
      </c>
      <c r="I110" s="299">
        <v>750000</v>
      </c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300">
        <f>SUM(J110:U110)</f>
        <v>0</v>
      </c>
      <c r="W110" s="300">
        <f>I110-V110</f>
        <v>750000</v>
      </c>
      <c r="X110" s="282">
        <f t="shared" si="25"/>
        <v>1</v>
      </c>
    </row>
    <row r="111" spans="1:24" s="114" customFormat="1" x14ac:dyDescent="0.2">
      <c r="A111" s="113">
        <v>22</v>
      </c>
      <c r="B111" s="121">
        <v>2</v>
      </c>
      <c r="C111" s="292">
        <v>2</v>
      </c>
      <c r="D111" s="293">
        <v>2</v>
      </c>
      <c r="E111" s="293">
        <v>8</v>
      </c>
      <c r="F111" s="293"/>
      <c r="G111" s="294"/>
      <c r="H111" s="295" t="s">
        <v>238</v>
      </c>
      <c r="I111" s="296">
        <f t="shared" ref="I111:W111" si="31">I112+I113+I114+I118+I121+I127</f>
        <v>4052563</v>
      </c>
      <c r="J111" s="296">
        <f t="shared" si="31"/>
        <v>0</v>
      </c>
      <c r="K111" s="296">
        <f t="shared" si="31"/>
        <v>0</v>
      </c>
      <c r="L111" s="296">
        <f t="shared" si="31"/>
        <v>0</v>
      </c>
      <c r="M111" s="296">
        <f t="shared" si="31"/>
        <v>0</v>
      </c>
      <c r="N111" s="296">
        <f t="shared" si="31"/>
        <v>0</v>
      </c>
      <c r="O111" s="296">
        <f t="shared" si="31"/>
        <v>0</v>
      </c>
      <c r="P111" s="296">
        <f t="shared" si="31"/>
        <v>0</v>
      </c>
      <c r="Q111" s="296">
        <f t="shared" si="31"/>
        <v>0</v>
      </c>
      <c r="R111" s="296">
        <f t="shared" si="31"/>
        <v>0</v>
      </c>
      <c r="S111" s="296">
        <f t="shared" si="31"/>
        <v>0</v>
      </c>
      <c r="T111" s="296">
        <f t="shared" si="31"/>
        <v>0</v>
      </c>
      <c r="U111" s="296">
        <f t="shared" si="31"/>
        <v>0</v>
      </c>
      <c r="V111" s="296">
        <f t="shared" si="31"/>
        <v>0</v>
      </c>
      <c r="W111" s="296">
        <f t="shared" si="31"/>
        <v>4052563</v>
      </c>
      <c r="X111" s="282">
        <f t="shared" si="25"/>
        <v>1</v>
      </c>
    </row>
    <row r="112" spans="1:24" s="114" customFormat="1" hidden="1" x14ac:dyDescent="0.2">
      <c r="A112" s="113">
        <v>22</v>
      </c>
      <c r="B112" s="62">
        <v>3</v>
      </c>
      <c r="C112" s="130">
        <v>2</v>
      </c>
      <c r="D112" s="131">
        <v>2</v>
      </c>
      <c r="E112" s="131">
        <v>8</v>
      </c>
      <c r="F112" s="131">
        <v>1</v>
      </c>
      <c r="G112" s="132"/>
      <c r="H112" s="302" t="s">
        <v>239</v>
      </c>
      <c r="I112" s="299">
        <v>0</v>
      </c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300">
        <f>SUM(J112:U112)</f>
        <v>0</v>
      </c>
      <c r="W112" s="300">
        <f>I112-V112</f>
        <v>0</v>
      </c>
      <c r="X112" s="282">
        <f t="shared" si="25"/>
        <v>2</v>
      </c>
    </row>
    <row r="113" spans="1:24" s="122" customFormat="1" hidden="1" x14ac:dyDescent="0.2">
      <c r="A113" s="113">
        <v>22</v>
      </c>
      <c r="B113" s="151">
        <v>3</v>
      </c>
      <c r="C113" s="126">
        <v>2</v>
      </c>
      <c r="D113" s="127">
        <v>2</v>
      </c>
      <c r="E113" s="127">
        <v>8</v>
      </c>
      <c r="F113" s="127">
        <v>2</v>
      </c>
      <c r="G113" s="325"/>
      <c r="H113" s="306" t="s">
        <v>240</v>
      </c>
      <c r="I113" s="299">
        <v>22000</v>
      </c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300">
        <f>SUM(J113:U113)</f>
        <v>0</v>
      </c>
      <c r="W113" s="300">
        <f>I113-V113</f>
        <v>22000</v>
      </c>
      <c r="X113" s="282">
        <f t="shared" si="25"/>
        <v>1</v>
      </c>
    </row>
    <row r="114" spans="1:24" s="114" customFormat="1" hidden="1" x14ac:dyDescent="0.2">
      <c r="A114" s="113">
        <v>22</v>
      </c>
      <c r="B114" s="62">
        <v>3</v>
      </c>
      <c r="C114" s="292">
        <v>2</v>
      </c>
      <c r="D114" s="293">
        <v>2</v>
      </c>
      <c r="E114" s="293">
        <v>8</v>
      </c>
      <c r="F114" s="293">
        <v>5</v>
      </c>
      <c r="G114" s="294"/>
      <c r="H114" s="295" t="s">
        <v>241</v>
      </c>
      <c r="I114" s="296">
        <f t="shared" ref="I114:W114" si="32">SUM(I115:I117)</f>
        <v>14000</v>
      </c>
      <c r="J114" s="296">
        <f t="shared" si="32"/>
        <v>0</v>
      </c>
      <c r="K114" s="296">
        <f t="shared" si="32"/>
        <v>0</v>
      </c>
      <c r="L114" s="296">
        <f t="shared" si="32"/>
        <v>0</v>
      </c>
      <c r="M114" s="296">
        <f t="shared" si="32"/>
        <v>0</v>
      </c>
      <c r="N114" s="296">
        <f t="shared" si="32"/>
        <v>0</v>
      </c>
      <c r="O114" s="296">
        <f t="shared" si="32"/>
        <v>0</v>
      </c>
      <c r="P114" s="296">
        <f t="shared" si="32"/>
        <v>0</v>
      </c>
      <c r="Q114" s="296">
        <f t="shared" si="32"/>
        <v>0</v>
      </c>
      <c r="R114" s="296">
        <f t="shared" si="32"/>
        <v>0</v>
      </c>
      <c r="S114" s="296">
        <f t="shared" si="32"/>
        <v>0</v>
      </c>
      <c r="T114" s="296">
        <f t="shared" si="32"/>
        <v>0</v>
      </c>
      <c r="U114" s="296">
        <f t="shared" si="32"/>
        <v>0</v>
      </c>
      <c r="V114" s="296">
        <f t="shared" si="32"/>
        <v>0</v>
      </c>
      <c r="W114" s="296">
        <f t="shared" si="32"/>
        <v>14000</v>
      </c>
      <c r="X114" s="282">
        <f t="shared" si="25"/>
        <v>1</v>
      </c>
    </row>
    <row r="115" spans="1:24" s="122" customFormat="1" hidden="1" x14ac:dyDescent="0.2">
      <c r="A115" s="113">
        <v>22</v>
      </c>
      <c r="B115" s="121">
        <v>4</v>
      </c>
      <c r="C115" s="126">
        <v>2</v>
      </c>
      <c r="D115" s="127">
        <v>2</v>
      </c>
      <c r="E115" s="127">
        <v>8</v>
      </c>
      <c r="F115" s="127">
        <v>5</v>
      </c>
      <c r="G115" s="128" t="s">
        <v>154</v>
      </c>
      <c r="H115" s="306" t="s">
        <v>242</v>
      </c>
      <c r="I115" s="299">
        <v>6000</v>
      </c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300">
        <f>SUM(J115:U115)</f>
        <v>0</v>
      </c>
      <c r="W115" s="300">
        <f>I115-V115</f>
        <v>6000</v>
      </c>
      <c r="X115" s="282">
        <f t="shared" si="25"/>
        <v>1</v>
      </c>
    </row>
    <row r="116" spans="1:24" s="122" customFormat="1" hidden="1" x14ac:dyDescent="0.2">
      <c r="A116" s="113">
        <v>22</v>
      </c>
      <c r="B116" s="121">
        <v>4</v>
      </c>
      <c r="C116" s="126">
        <v>2</v>
      </c>
      <c r="D116" s="127">
        <v>2</v>
      </c>
      <c r="E116" s="127">
        <v>8</v>
      </c>
      <c r="F116" s="127">
        <v>5</v>
      </c>
      <c r="G116" s="128" t="s">
        <v>158</v>
      </c>
      <c r="H116" s="306" t="s">
        <v>243</v>
      </c>
      <c r="I116" s="299">
        <v>5000</v>
      </c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300">
        <f>SUM(J116:U116)</f>
        <v>0</v>
      </c>
      <c r="W116" s="300">
        <f>I116-V116</f>
        <v>5000</v>
      </c>
      <c r="X116" s="282">
        <f t="shared" si="25"/>
        <v>1</v>
      </c>
    </row>
    <row r="117" spans="1:24" s="122" customFormat="1" hidden="1" x14ac:dyDescent="0.2">
      <c r="A117" s="113">
        <v>22</v>
      </c>
      <c r="B117" s="121">
        <v>4</v>
      </c>
      <c r="C117" s="126">
        <v>2</v>
      </c>
      <c r="D117" s="127">
        <v>2</v>
      </c>
      <c r="E117" s="127">
        <v>8</v>
      </c>
      <c r="F117" s="127">
        <v>5</v>
      </c>
      <c r="G117" s="128" t="s">
        <v>160</v>
      </c>
      <c r="H117" s="306" t="s">
        <v>244</v>
      </c>
      <c r="I117" s="299">
        <v>3000</v>
      </c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300">
        <f>SUM(J117:U117)</f>
        <v>0</v>
      </c>
      <c r="W117" s="300">
        <f>I117-V117</f>
        <v>3000</v>
      </c>
      <c r="X117" s="282">
        <f t="shared" si="25"/>
        <v>1</v>
      </c>
    </row>
    <row r="118" spans="1:24" s="114" customFormat="1" hidden="1" x14ac:dyDescent="0.2">
      <c r="A118" s="113">
        <v>22</v>
      </c>
      <c r="B118" s="121">
        <v>3</v>
      </c>
      <c r="C118" s="292">
        <v>2</v>
      </c>
      <c r="D118" s="293">
        <v>2</v>
      </c>
      <c r="E118" s="293">
        <v>8</v>
      </c>
      <c r="F118" s="293">
        <v>6</v>
      </c>
      <c r="G118" s="294"/>
      <c r="H118" s="295" t="s">
        <v>245</v>
      </c>
      <c r="I118" s="296">
        <f t="shared" ref="I118:W118" si="33">I119+I120</f>
        <v>610000</v>
      </c>
      <c r="J118" s="296">
        <f t="shared" si="33"/>
        <v>0</v>
      </c>
      <c r="K118" s="296">
        <f t="shared" si="33"/>
        <v>0</v>
      </c>
      <c r="L118" s="296">
        <f t="shared" si="33"/>
        <v>0</v>
      </c>
      <c r="M118" s="296">
        <f t="shared" si="33"/>
        <v>0</v>
      </c>
      <c r="N118" s="296">
        <f t="shared" si="33"/>
        <v>0</v>
      </c>
      <c r="O118" s="296">
        <f t="shared" si="33"/>
        <v>0</v>
      </c>
      <c r="P118" s="296">
        <f t="shared" si="33"/>
        <v>0</v>
      </c>
      <c r="Q118" s="296">
        <f t="shared" si="33"/>
        <v>0</v>
      </c>
      <c r="R118" s="296">
        <f t="shared" si="33"/>
        <v>0</v>
      </c>
      <c r="S118" s="296">
        <f t="shared" si="33"/>
        <v>0</v>
      </c>
      <c r="T118" s="296">
        <f t="shared" si="33"/>
        <v>0</v>
      </c>
      <c r="U118" s="296">
        <f t="shared" si="33"/>
        <v>0</v>
      </c>
      <c r="V118" s="296">
        <f t="shared" si="33"/>
        <v>0</v>
      </c>
      <c r="W118" s="296">
        <f t="shared" si="33"/>
        <v>610000</v>
      </c>
      <c r="X118" s="282">
        <f t="shared" si="25"/>
        <v>1</v>
      </c>
    </row>
    <row r="119" spans="1:24" s="122" customFormat="1" hidden="1" x14ac:dyDescent="0.2">
      <c r="A119" s="113">
        <v>22</v>
      </c>
      <c r="B119" s="121">
        <v>4</v>
      </c>
      <c r="C119" s="126">
        <v>2</v>
      </c>
      <c r="D119" s="127">
        <v>2</v>
      </c>
      <c r="E119" s="127">
        <v>8</v>
      </c>
      <c r="F119" s="127">
        <v>6</v>
      </c>
      <c r="G119" s="325" t="s">
        <v>154</v>
      </c>
      <c r="H119" s="306" t="s">
        <v>246</v>
      </c>
      <c r="I119" s="301">
        <v>510000</v>
      </c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300">
        <f>SUM(J119:U119)</f>
        <v>0</v>
      </c>
      <c r="W119" s="300">
        <f>I119-V119</f>
        <v>510000</v>
      </c>
      <c r="X119" s="282">
        <f t="shared" si="25"/>
        <v>1</v>
      </c>
    </row>
    <row r="120" spans="1:24" s="122" customFormat="1" hidden="1" x14ac:dyDescent="0.2">
      <c r="A120" s="113">
        <v>22</v>
      </c>
      <c r="B120" s="121">
        <v>4</v>
      </c>
      <c r="C120" s="126">
        <v>2</v>
      </c>
      <c r="D120" s="127">
        <v>2</v>
      </c>
      <c r="E120" s="127">
        <v>8</v>
      </c>
      <c r="F120" s="127">
        <v>6</v>
      </c>
      <c r="G120" s="325" t="s">
        <v>158</v>
      </c>
      <c r="H120" s="306" t="s">
        <v>247</v>
      </c>
      <c r="I120" s="299">
        <v>100000</v>
      </c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300">
        <f>SUM(J120:U120)</f>
        <v>0</v>
      </c>
      <c r="W120" s="300">
        <f>I120-V120</f>
        <v>100000</v>
      </c>
      <c r="X120" s="282">
        <f t="shared" si="25"/>
        <v>1</v>
      </c>
    </row>
    <row r="121" spans="1:24" s="114" customFormat="1" hidden="1" x14ac:dyDescent="0.2">
      <c r="A121" s="113">
        <v>22</v>
      </c>
      <c r="B121" s="62">
        <v>3</v>
      </c>
      <c r="C121" s="292">
        <v>2</v>
      </c>
      <c r="D121" s="293">
        <v>2</v>
      </c>
      <c r="E121" s="293">
        <v>8</v>
      </c>
      <c r="F121" s="293">
        <v>7</v>
      </c>
      <c r="G121" s="294"/>
      <c r="H121" s="295" t="s">
        <v>248</v>
      </c>
      <c r="I121" s="296">
        <f t="shared" ref="I121:W121" si="34">I122+I123+I124+I125+I126</f>
        <v>3380563</v>
      </c>
      <c r="J121" s="296">
        <f t="shared" si="34"/>
        <v>0</v>
      </c>
      <c r="K121" s="296">
        <f t="shared" si="34"/>
        <v>0</v>
      </c>
      <c r="L121" s="296">
        <f t="shared" si="34"/>
        <v>0</v>
      </c>
      <c r="M121" s="296">
        <f t="shared" si="34"/>
        <v>0</v>
      </c>
      <c r="N121" s="296">
        <f t="shared" si="34"/>
        <v>0</v>
      </c>
      <c r="O121" s="296">
        <f t="shared" si="34"/>
        <v>0</v>
      </c>
      <c r="P121" s="296">
        <f t="shared" si="34"/>
        <v>0</v>
      </c>
      <c r="Q121" s="296">
        <f t="shared" si="34"/>
        <v>0</v>
      </c>
      <c r="R121" s="296">
        <f t="shared" si="34"/>
        <v>0</v>
      </c>
      <c r="S121" s="296">
        <f t="shared" si="34"/>
        <v>0</v>
      </c>
      <c r="T121" s="296">
        <f t="shared" si="34"/>
        <v>0</v>
      </c>
      <c r="U121" s="296">
        <f t="shared" si="34"/>
        <v>0</v>
      </c>
      <c r="V121" s="296">
        <f t="shared" si="34"/>
        <v>0</v>
      </c>
      <c r="W121" s="296">
        <f t="shared" si="34"/>
        <v>3380563</v>
      </c>
      <c r="X121" s="282">
        <f t="shared" si="25"/>
        <v>1</v>
      </c>
    </row>
    <row r="122" spans="1:24" s="122" customFormat="1" hidden="1" x14ac:dyDescent="0.2">
      <c r="A122" s="113">
        <v>22</v>
      </c>
      <c r="B122" s="121">
        <v>4</v>
      </c>
      <c r="C122" s="126">
        <v>2</v>
      </c>
      <c r="D122" s="127">
        <v>2</v>
      </c>
      <c r="E122" s="127">
        <v>8</v>
      </c>
      <c r="F122" s="127">
        <v>7</v>
      </c>
      <c r="G122" s="325" t="s">
        <v>154</v>
      </c>
      <c r="H122" s="306" t="s">
        <v>249</v>
      </c>
      <c r="I122" s="299">
        <f>3105563-980000</f>
        <v>2125563</v>
      </c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300">
        <f>SUM(J122:U122)</f>
        <v>0</v>
      </c>
      <c r="W122" s="300">
        <f>I122-V122</f>
        <v>2125563</v>
      </c>
      <c r="X122" s="282">
        <f t="shared" si="25"/>
        <v>1</v>
      </c>
    </row>
    <row r="123" spans="1:24" s="122" customFormat="1" hidden="1" x14ac:dyDescent="0.2">
      <c r="A123" s="113">
        <v>22</v>
      </c>
      <c r="B123" s="121">
        <v>4</v>
      </c>
      <c r="C123" s="126">
        <v>2</v>
      </c>
      <c r="D123" s="127">
        <v>2</v>
      </c>
      <c r="E123" s="127">
        <v>8</v>
      </c>
      <c r="F123" s="127">
        <v>7</v>
      </c>
      <c r="G123" s="325" t="s">
        <v>158</v>
      </c>
      <c r="H123" s="306" t="s">
        <v>250</v>
      </c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300">
        <f>SUM(J123:U123)</f>
        <v>0</v>
      </c>
      <c r="W123" s="300">
        <f>I123-V123</f>
        <v>0</v>
      </c>
      <c r="X123" s="282">
        <f t="shared" si="25"/>
        <v>2</v>
      </c>
    </row>
    <row r="124" spans="1:24" s="122" customFormat="1" hidden="1" x14ac:dyDescent="0.2">
      <c r="A124" s="113">
        <v>22</v>
      </c>
      <c r="B124" s="121">
        <v>4</v>
      </c>
      <c r="C124" s="126">
        <v>2</v>
      </c>
      <c r="D124" s="127">
        <v>2</v>
      </c>
      <c r="E124" s="127">
        <v>8</v>
      </c>
      <c r="F124" s="127">
        <v>7</v>
      </c>
      <c r="G124" s="325" t="s">
        <v>162</v>
      </c>
      <c r="H124" s="306" t="s">
        <v>251</v>
      </c>
      <c r="I124" s="299">
        <v>0</v>
      </c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300">
        <f>SUM(J124:U124)</f>
        <v>0</v>
      </c>
      <c r="W124" s="300">
        <f>I124-V124</f>
        <v>0</v>
      </c>
      <c r="X124" s="282">
        <f t="shared" si="25"/>
        <v>2</v>
      </c>
    </row>
    <row r="125" spans="1:24" s="122" customFormat="1" hidden="1" x14ac:dyDescent="0.2">
      <c r="A125" s="113">
        <v>22</v>
      </c>
      <c r="B125" s="121">
        <v>4</v>
      </c>
      <c r="C125" s="126">
        <v>2</v>
      </c>
      <c r="D125" s="127">
        <v>2</v>
      </c>
      <c r="E125" s="127">
        <v>8</v>
      </c>
      <c r="F125" s="127">
        <v>7</v>
      </c>
      <c r="G125" s="325" t="s">
        <v>164</v>
      </c>
      <c r="H125" s="306" t="s">
        <v>252</v>
      </c>
      <c r="I125" s="299">
        <v>25000</v>
      </c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300">
        <f>SUM(J125:U125)</f>
        <v>0</v>
      </c>
      <c r="W125" s="300">
        <f>I125-V125</f>
        <v>25000</v>
      </c>
      <c r="X125" s="282">
        <f t="shared" si="25"/>
        <v>1</v>
      </c>
    </row>
    <row r="126" spans="1:24" s="122" customFormat="1" hidden="1" x14ac:dyDescent="0.2">
      <c r="A126" s="113">
        <v>22</v>
      </c>
      <c r="B126" s="121">
        <v>4</v>
      </c>
      <c r="C126" s="126">
        <v>2</v>
      </c>
      <c r="D126" s="127">
        <v>2</v>
      </c>
      <c r="E126" s="127">
        <v>8</v>
      </c>
      <c r="F126" s="127">
        <v>7</v>
      </c>
      <c r="G126" s="325" t="s">
        <v>178</v>
      </c>
      <c r="H126" s="306" t="s">
        <v>253</v>
      </c>
      <c r="I126" s="301">
        <f>250000+980000</f>
        <v>1230000</v>
      </c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300">
        <f>SUM(J126:U126)</f>
        <v>0</v>
      </c>
      <c r="W126" s="300">
        <f>I126-V126</f>
        <v>1230000</v>
      </c>
      <c r="X126" s="282">
        <f t="shared" si="25"/>
        <v>1</v>
      </c>
    </row>
    <row r="127" spans="1:24" s="114" customFormat="1" hidden="1" x14ac:dyDescent="0.2">
      <c r="A127" s="113">
        <v>22</v>
      </c>
      <c r="B127" s="62">
        <v>3</v>
      </c>
      <c r="C127" s="292">
        <v>2</v>
      </c>
      <c r="D127" s="293">
        <v>2</v>
      </c>
      <c r="E127" s="293">
        <v>8</v>
      </c>
      <c r="F127" s="293">
        <v>8</v>
      </c>
      <c r="G127" s="294"/>
      <c r="H127" s="295" t="s">
        <v>254</v>
      </c>
      <c r="I127" s="296">
        <f t="shared" ref="I127:W127" si="35">I128+I129</f>
        <v>26000</v>
      </c>
      <c r="J127" s="296">
        <f t="shared" si="35"/>
        <v>0</v>
      </c>
      <c r="K127" s="296">
        <f t="shared" si="35"/>
        <v>0</v>
      </c>
      <c r="L127" s="296">
        <f t="shared" si="35"/>
        <v>0</v>
      </c>
      <c r="M127" s="296">
        <f t="shared" si="35"/>
        <v>0</v>
      </c>
      <c r="N127" s="296">
        <f t="shared" si="35"/>
        <v>0</v>
      </c>
      <c r="O127" s="296">
        <f t="shared" si="35"/>
        <v>0</v>
      </c>
      <c r="P127" s="296">
        <f t="shared" si="35"/>
        <v>0</v>
      </c>
      <c r="Q127" s="296">
        <f t="shared" si="35"/>
        <v>0</v>
      </c>
      <c r="R127" s="296">
        <f t="shared" si="35"/>
        <v>0</v>
      </c>
      <c r="S127" s="296">
        <f t="shared" si="35"/>
        <v>0</v>
      </c>
      <c r="T127" s="296">
        <f t="shared" si="35"/>
        <v>0</v>
      </c>
      <c r="U127" s="296">
        <f>U128+U129</f>
        <v>0</v>
      </c>
      <c r="V127" s="296">
        <f t="shared" si="35"/>
        <v>0</v>
      </c>
      <c r="W127" s="296">
        <f t="shared" si="35"/>
        <v>26000</v>
      </c>
      <c r="X127" s="282">
        <f t="shared" si="25"/>
        <v>1</v>
      </c>
    </row>
    <row r="128" spans="1:24" s="122" customFormat="1" hidden="1" x14ac:dyDescent="0.2">
      <c r="A128" s="113">
        <v>22</v>
      </c>
      <c r="B128" s="121">
        <v>4</v>
      </c>
      <c r="C128" s="126">
        <v>2</v>
      </c>
      <c r="D128" s="127">
        <v>2</v>
      </c>
      <c r="E128" s="127">
        <v>8</v>
      </c>
      <c r="F128" s="127">
        <v>8</v>
      </c>
      <c r="G128" s="128" t="s">
        <v>154</v>
      </c>
      <c r="H128" s="306" t="s">
        <v>255</v>
      </c>
      <c r="I128" s="299">
        <v>24000</v>
      </c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300">
        <f>SUM(J128:U128)</f>
        <v>0</v>
      </c>
      <c r="W128" s="300">
        <f>I128-V128</f>
        <v>24000</v>
      </c>
      <c r="X128" s="282">
        <f t="shared" si="25"/>
        <v>1</v>
      </c>
    </row>
    <row r="129" spans="1:24" s="122" customFormat="1" hidden="1" x14ac:dyDescent="0.2">
      <c r="A129" s="113">
        <v>22</v>
      </c>
      <c r="B129" s="121">
        <v>4</v>
      </c>
      <c r="C129" s="126">
        <v>2</v>
      </c>
      <c r="D129" s="127">
        <v>2</v>
      </c>
      <c r="E129" s="127">
        <v>8</v>
      </c>
      <c r="F129" s="127">
        <v>8</v>
      </c>
      <c r="G129" s="128" t="s">
        <v>160</v>
      </c>
      <c r="H129" s="306" t="s">
        <v>256</v>
      </c>
      <c r="I129" s="299">
        <v>2000</v>
      </c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300">
        <f>SUM(J129:U129)</f>
        <v>0</v>
      </c>
      <c r="W129" s="300">
        <f>I129-V129</f>
        <v>2000</v>
      </c>
      <c r="X129" s="282">
        <f t="shared" si="25"/>
        <v>1</v>
      </c>
    </row>
    <row r="130" spans="1:24" s="122" customFormat="1" hidden="1" x14ac:dyDescent="0.2">
      <c r="A130" s="113"/>
      <c r="B130" s="149"/>
      <c r="C130" s="149"/>
      <c r="D130" s="149"/>
      <c r="E130" s="149"/>
      <c r="F130" s="149"/>
      <c r="G130" s="149"/>
      <c r="H130" s="14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2">
        <v>3</v>
      </c>
    </row>
    <row r="131" spans="1:24" s="114" customFormat="1" x14ac:dyDescent="0.2">
      <c r="A131" s="291">
        <v>22</v>
      </c>
      <c r="B131" s="129">
        <v>2</v>
      </c>
      <c r="C131" s="292">
        <v>2</v>
      </c>
      <c r="D131" s="293">
        <v>2</v>
      </c>
      <c r="E131" s="293">
        <v>9</v>
      </c>
      <c r="F131" s="293"/>
      <c r="G131" s="294"/>
      <c r="H131" s="295" t="s">
        <v>257</v>
      </c>
      <c r="I131" s="296">
        <f t="shared" ref="I131:W131" si="36">I132</f>
        <v>500000</v>
      </c>
      <c r="J131" s="296">
        <f t="shared" si="36"/>
        <v>0</v>
      </c>
      <c r="K131" s="296">
        <f t="shared" si="36"/>
        <v>0</v>
      </c>
      <c r="L131" s="296">
        <f t="shared" si="36"/>
        <v>0</v>
      </c>
      <c r="M131" s="296">
        <f t="shared" si="36"/>
        <v>0</v>
      </c>
      <c r="N131" s="296">
        <f t="shared" si="36"/>
        <v>0</v>
      </c>
      <c r="O131" s="296">
        <f t="shared" si="36"/>
        <v>0</v>
      </c>
      <c r="P131" s="296">
        <f t="shared" si="36"/>
        <v>0</v>
      </c>
      <c r="Q131" s="296">
        <f t="shared" si="36"/>
        <v>0</v>
      </c>
      <c r="R131" s="296">
        <f t="shared" si="36"/>
        <v>0</v>
      </c>
      <c r="S131" s="296">
        <f t="shared" si="36"/>
        <v>0</v>
      </c>
      <c r="T131" s="296">
        <f t="shared" si="36"/>
        <v>0</v>
      </c>
      <c r="U131" s="296">
        <f t="shared" si="36"/>
        <v>0</v>
      </c>
      <c r="V131" s="296">
        <f t="shared" si="36"/>
        <v>0</v>
      </c>
      <c r="W131" s="296">
        <f t="shared" si="36"/>
        <v>500000</v>
      </c>
      <c r="X131" s="282">
        <f t="shared" si="25"/>
        <v>1</v>
      </c>
    </row>
    <row r="132" spans="1:24" s="122" customFormat="1" hidden="1" x14ac:dyDescent="0.2">
      <c r="A132" s="113">
        <v>22</v>
      </c>
      <c r="B132" s="121">
        <v>4</v>
      </c>
      <c r="C132" s="126">
        <v>2</v>
      </c>
      <c r="D132" s="127">
        <v>2</v>
      </c>
      <c r="E132" s="127">
        <v>9</v>
      </c>
      <c r="F132" s="127">
        <v>2</v>
      </c>
      <c r="G132" s="128" t="s">
        <v>154</v>
      </c>
      <c r="H132" s="306" t="s">
        <v>258</v>
      </c>
      <c r="I132" s="299">
        <v>500000</v>
      </c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300">
        <f>SUM(J132:U132)</f>
        <v>0</v>
      </c>
      <c r="W132" s="300">
        <f>I132-V132</f>
        <v>500000</v>
      </c>
      <c r="X132" s="282">
        <f t="shared" si="25"/>
        <v>1</v>
      </c>
    </row>
    <row r="133" spans="1:24" s="122" customFormat="1" hidden="1" x14ac:dyDescent="0.2">
      <c r="A133" s="113"/>
      <c r="B133" s="149"/>
      <c r="C133" s="149"/>
      <c r="D133" s="149"/>
      <c r="E133" s="149"/>
      <c r="F133" s="149"/>
      <c r="G133" s="149"/>
      <c r="H133" s="14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2">
        <v>3</v>
      </c>
    </row>
    <row r="134" spans="1:24" s="122" customFormat="1" ht="13.5" hidden="1" thickBot="1" x14ac:dyDescent="0.25">
      <c r="A134" s="334">
        <v>23</v>
      </c>
      <c r="B134" s="121">
        <v>1</v>
      </c>
      <c r="C134" s="318">
        <v>2</v>
      </c>
      <c r="D134" s="319">
        <v>3</v>
      </c>
      <c r="E134" s="319"/>
      <c r="F134" s="319"/>
      <c r="G134" s="320"/>
      <c r="H134" s="321" t="s">
        <v>259</v>
      </c>
      <c r="I134" s="322">
        <f t="shared" ref="I134:W134" si="37">I135+I143+I149+I155+I158+I163+I171+I182</f>
        <v>4241000</v>
      </c>
      <c r="J134" s="322">
        <f t="shared" si="37"/>
        <v>0</v>
      </c>
      <c r="K134" s="322">
        <f t="shared" si="37"/>
        <v>0</v>
      </c>
      <c r="L134" s="322">
        <f t="shared" si="37"/>
        <v>0</v>
      </c>
      <c r="M134" s="322">
        <f t="shared" si="37"/>
        <v>0</v>
      </c>
      <c r="N134" s="322">
        <f t="shared" si="37"/>
        <v>0</v>
      </c>
      <c r="O134" s="322">
        <f t="shared" si="37"/>
        <v>0</v>
      </c>
      <c r="P134" s="322">
        <f t="shared" si="37"/>
        <v>0</v>
      </c>
      <c r="Q134" s="322">
        <f t="shared" si="37"/>
        <v>0</v>
      </c>
      <c r="R134" s="322">
        <f t="shared" si="37"/>
        <v>0</v>
      </c>
      <c r="S134" s="322">
        <f t="shared" si="37"/>
        <v>0</v>
      </c>
      <c r="T134" s="322">
        <f t="shared" si="37"/>
        <v>0</v>
      </c>
      <c r="U134" s="322">
        <f t="shared" si="37"/>
        <v>0</v>
      </c>
      <c r="V134" s="322">
        <f t="shared" si="37"/>
        <v>0</v>
      </c>
      <c r="W134" s="322">
        <f t="shared" si="37"/>
        <v>4241000</v>
      </c>
      <c r="X134" s="282">
        <f t="shared" si="25"/>
        <v>1</v>
      </c>
    </row>
    <row r="135" spans="1:24" s="122" customFormat="1" x14ac:dyDescent="0.2">
      <c r="A135" s="334">
        <v>23</v>
      </c>
      <c r="B135" s="121">
        <v>2</v>
      </c>
      <c r="C135" s="292">
        <v>2</v>
      </c>
      <c r="D135" s="293">
        <v>3</v>
      </c>
      <c r="E135" s="293">
        <v>1</v>
      </c>
      <c r="F135" s="293"/>
      <c r="G135" s="324"/>
      <c r="H135" s="335" t="s">
        <v>260</v>
      </c>
      <c r="I135" s="296">
        <f t="shared" ref="I135:W135" si="38">I136+I139</f>
        <v>230000</v>
      </c>
      <c r="J135" s="296">
        <f t="shared" si="38"/>
        <v>0</v>
      </c>
      <c r="K135" s="296">
        <f t="shared" si="38"/>
        <v>0</v>
      </c>
      <c r="L135" s="296">
        <f t="shared" si="38"/>
        <v>0</v>
      </c>
      <c r="M135" s="296">
        <f t="shared" si="38"/>
        <v>0</v>
      </c>
      <c r="N135" s="296">
        <f t="shared" si="38"/>
        <v>0</v>
      </c>
      <c r="O135" s="296">
        <f t="shared" si="38"/>
        <v>0</v>
      </c>
      <c r="P135" s="296">
        <f t="shared" si="38"/>
        <v>0</v>
      </c>
      <c r="Q135" s="296">
        <f t="shared" si="38"/>
        <v>0</v>
      </c>
      <c r="R135" s="296">
        <f t="shared" si="38"/>
        <v>0</v>
      </c>
      <c r="S135" s="296">
        <f t="shared" si="38"/>
        <v>0</v>
      </c>
      <c r="T135" s="296">
        <f t="shared" si="38"/>
        <v>0</v>
      </c>
      <c r="U135" s="296">
        <f t="shared" si="38"/>
        <v>0</v>
      </c>
      <c r="V135" s="296">
        <f t="shared" si="38"/>
        <v>0</v>
      </c>
      <c r="W135" s="296">
        <f t="shared" si="38"/>
        <v>230000</v>
      </c>
      <c r="X135" s="282">
        <f t="shared" si="25"/>
        <v>1</v>
      </c>
    </row>
    <row r="136" spans="1:24" s="114" customFormat="1" hidden="1" x14ac:dyDescent="0.2">
      <c r="A136" s="334">
        <v>23</v>
      </c>
      <c r="B136" s="62">
        <v>3</v>
      </c>
      <c r="C136" s="292">
        <v>2</v>
      </c>
      <c r="D136" s="293">
        <v>3</v>
      </c>
      <c r="E136" s="293">
        <v>1</v>
      </c>
      <c r="F136" s="293">
        <v>1</v>
      </c>
      <c r="G136" s="294"/>
      <c r="H136" s="295" t="s">
        <v>261</v>
      </c>
      <c r="I136" s="296">
        <f t="shared" ref="I136:W136" si="39">I137</f>
        <v>150000</v>
      </c>
      <c r="J136" s="296">
        <f t="shared" si="39"/>
        <v>0</v>
      </c>
      <c r="K136" s="296">
        <f t="shared" si="39"/>
        <v>0</v>
      </c>
      <c r="L136" s="296">
        <f t="shared" si="39"/>
        <v>0</v>
      </c>
      <c r="M136" s="296">
        <f t="shared" si="39"/>
        <v>0</v>
      </c>
      <c r="N136" s="296">
        <f t="shared" si="39"/>
        <v>0</v>
      </c>
      <c r="O136" s="296">
        <f t="shared" si="39"/>
        <v>0</v>
      </c>
      <c r="P136" s="296">
        <f t="shared" si="39"/>
        <v>0</v>
      </c>
      <c r="Q136" s="296">
        <f t="shared" si="39"/>
        <v>0</v>
      </c>
      <c r="R136" s="296">
        <f t="shared" si="39"/>
        <v>0</v>
      </c>
      <c r="S136" s="296">
        <f t="shared" si="39"/>
        <v>0</v>
      </c>
      <c r="T136" s="296">
        <f t="shared" si="39"/>
        <v>0</v>
      </c>
      <c r="U136" s="296">
        <f t="shared" si="39"/>
        <v>0</v>
      </c>
      <c r="V136" s="296">
        <f t="shared" si="39"/>
        <v>0</v>
      </c>
      <c r="W136" s="296">
        <f t="shared" si="39"/>
        <v>150000</v>
      </c>
      <c r="X136" s="282">
        <f t="shared" si="25"/>
        <v>1</v>
      </c>
    </row>
    <row r="137" spans="1:24" s="122" customFormat="1" hidden="1" x14ac:dyDescent="0.2">
      <c r="A137" s="334">
        <v>23</v>
      </c>
      <c r="B137" s="121">
        <v>4</v>
      </c>
      <c r="C137" s="126">
        <v>2</v>
      </c>
      <c r="D137" s="127">
        <v>3</v>
      </c>
      <c r="E137" s="127">
        <v>1</v>
      </c>
      <c r="F137" s="127">
        <v>1</v>
      </c>
      <c r="G137" s="128" t="s">
        <v>154</v>
      </c>
      <c r="H137" s="306" t="s">
        <v>261</v>
      </c>
      <c r="I137" s="299">
        <v>150000</v>
      </c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300">
        <f>SUM(J137:U137)</f>
        <v>0</v>
      </c>
      <c r="W137" s="300">
        <f>I137-V137</f>
        <v>150000</v>
      </c>
      <c r="X137" s="282">
        <f t="shared" si="25"/>
        <v>1</v>
      </c>
    </row>
    <row r="138" spans="1:24" s="122" customFormat="1" hidden="1" x14ac:dyDescent="0.2">
      <c r="A138" s="334"/>
      <c r="B138" s="149"/>
      <c r="C138" s="149"/>
      <c r="D138" s="149"/>
      <c r="E138" s="149"/>
      <c r="F138" s="149"/>
      <c r="G138" s="149"/>
      <c r="H138" s="14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2">
        <v>3</v>
      </c>
    </row>
    <row r="139" spans="1:24" s="114" customFormat="1" hidden="1" x14ac:dyDescent="0.2">
      <c r="A139" s="113">
        <v>23</v>
      </c>
      <c r="B139" s="62">
        <v>3</v>
      </c>
      <c r="C139" s="292">
        <v>2</v>
      </c>
      <c r="D139" s="293">
        <v>3</v>
      </c>
      <c r="E139" s="293">
        <v>1</v>
      </c>
      <c r="F139" s="293">
        <v>3</v>
      </c>
      <c r="G139" s="294"/>
      <c r="H139" s="295" t="s">
        <v>262</v>
      </c>
      <c r="I139" s="296">
        <f t="shared" ref="I139:W139" si="40">SUM(I140:I141)</f>
        <v>80000</v>
      </c>
      <c r="J139" s="296">
        <f t="shared" si="40"/>
        <v>0</v>
      </c>
      <c r="K139" s="296">
        <f t="shared" si="40"/>
        <v>0</v>
      </c>
      <c r="L139" s="296">
        <f t="shared" si="40"/>
        <v>0</v>
      </c>
      <c r="M139" s="296">
        <f t="shared" si="40"/>
        <v>0</v>
      </c>
      <c r="N139" s="296">
        <f t="shared" si="40"/>
        <v>0</v>
      </c>
      <c r="O139" s="296">
        <f t="shared" si="40"/>
        <v>0</v>
      </c>
      <c r="P139" s="296">
        <f t="shared" si="40"/>
        <v>0</v>
      </c>
      <c r="Q139" s="296">
        <f t="shared" si="40"/>
        <v>0</v>
      </c>
      <c r="R139" s="296">
        <f t="shared" si="40"/>
        <v>0</v>
      </c>
      <c r="S139" s="296">
        <f t="shared" si="40"/>
        <v>0</v>
      </c>
      <c r="T139" s="296">
        <f t="shared" si="40"/>
        <v>0</v>
      </c>
      <c r="U139" s="296">
        <f t="shared" si="40"/>
        <v>0</v>
      </c>
      <c r="V139" s="296">
        <f t="shared" si="40"/>
        <v>0</v>
      </c>
      <c r="W139" s="296">
        <f t="shared" si="40"/>
        <v>80000</v>
      </c>
      <c r="X139" s="282">
        <f t="shared" si="25"/>
        <v>1</v>
      </c>
    </row>
    <row r="140" spans="1:24" s="122" customFormat="1" hidden="1" x14ac:dyDescent="0.2">
      <c r="A140" s="113">
        <v>23</v>
      </c>
      <c r="B140" s="121">
        <v>4</v>
      </c>
      <c r="C140" s="126">
        <v>2</v>
      </c>
      <c r="D140" s="127">
        <v>3</v>
      </c>
      <c r="E140" s="127">
        <v>1</v>
      </c>
      <c r="F140" s="127">
        <v>3</v>
      </c>
      <c r="G140" s="128" t="s">
        <v>158</v>
      </c>
      <c r="H140" s="302" t="s">
        <v>263</v>
      </c>
      <c r="I140" s="299">
        <v>5000</v>
      </c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300">
        <f>SUM(J140:U140)</f>
        <v>0</v>
      </c>
      <c r="W140" s="300">
        <f>I140-V140</f>
        <v>5000</v>
      </c>
      <c r="X140" s="282">
        <f t="shared" si="25"/>
        <v>1</v>
      </c>
    </row>
    <row r="141" spans="1:24" s="122" customFormat="1" hidden="1" x14ac:dyDescent="0.2">
      <c r="A141" s="113">
        <v>23</v>
      </c>
      <c r="B141" s="121">
        <v>4</v>
      </c>
      <c r="C141" s="126">
        <v>2</v>
      </c>
      <c r="D141" s="127">
        <v>3</v>
      </c>
      <c r="E141" s="127" t="s">
        <v>264</v>
      </c>
      <c r="F141" s="127">
        <v>3</v>
      </c>
      <c r="G141" s="128" t="s">
        <v>160</v>
      </c>
      <c r="H141" s="302" t="s">
        <v>265</v>
      </c>
      <c r="I141" s="299">
        <v>75000</v>
      </c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300">
        <f>SUM(J141:U141)</f>
        <v>0</v>
      </c>
      <c r="W141" s="300">
        <f>I141-V141</f>
        <v>75000</v>
      </c>
      <c r="X141" s="282">
        <f t="shared" si="25"/>
        <v>1</v>
      </c>
    </row>
    <row r="142" spans="1:24" s="122" customFormat="1" hidden="1" x14ac:dyDescent="0.2">
      <c r="A142" s="113"/>
      <c r="B142" s="149"/>
      <c r="C142" s="149"/>
      <c r="D142" s="149"/>
      <c r="E142" s="149"/>
      <c r="F142" s="149"/>
      <c r="G142" s="149"/>
      <c r="H142" s="14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2">
        <v>3</v>
      </c>
    </row>
    <row r="143" spans="1:24" s="122" customFormat="1" x14ac:dyDescent="0.2">
      <c r="A143" s="113">
        <v>23</v>
      </c>
      <c r="B143" s="121">
        <v>2</v>
      </c>
      <c r="C143" s="292">
        <v>2</v>
      </c>
      <c r="D143" s="293">
        <v>3</v>
      </c>
      <c r="E143" s="293">
        <v>2</v>
      </c>
      <c r="F143" s="293"/>
      <c r="G143" s="324"/>
      <c r="H143" s="335" t="s">
        <v>266</v>
      </c>
      <c r="I143" s="296">
        <f t="shared" ref="I143:W143" si="41">SUM(I144:I147)</f>
        <v>118000</v>
      </c>
      <c r="J143" s="296">
        <f t="shared" si="41"/>
        <v>0</v>
      </c>
      <c r="K143" s="296">
        <f t="shared" si="41"/>
        <v>0</v>
      </c>
      <c r="L143" s="296">
        <f t="shared" si="41"/>
        <v>0</v>
      </c>
      <c r="M143" s="296">
        <f t="shared" si="41"/>
        <v>0</v>
      </c>
      <c r="N143" s="296">
        <f t="shared" si="41"/>
        <v>0</v>
      </c>
      <c r="O143" s="296">
        <f t="shared" si="41"/>
        <v>0</v>
      </c>
      <c r="P143" s="296">
        <f t="shared" si="41"/>
        <v>0</v>
      </c>
      <c r="Q143" s="296">
        <f t="shared" si="41"/>
        <v>0</v>
      </c>
      <c r="R143" s="296">
        <f t="shared" si="41"/>
        <v>0</v>
      </c>
      <c r="S143" s="296">
        <f t="shared" si="41"/>
        <v>0</v>
      </c>
      <c r="T143" s="296">
        <f t="shared" si="41"/>
        <v>0</v>
      </c>
      <c r="U143" s="296">
        <f t="shared" si="41"/>
        <v>0</v>
      </c>
      <c r="V143" s="296">
        <f t="shared" si="41"/>
        <v>0</v>
      </c>
      <c r="W143" s="296">
        <f t="shared" si="41"/>
        <v>118000</v>
      </c>
      <c r="X143" s="282">
        <f t="shared" si="25"/>
        <v>1</v>
      </c>
    </row>
    <row r="144" spans="1:24" s="122" customFormat="1" hidden="1" x14ac:dyDescent="0.2">
      <c r="A144" s="113">
        <v>23</v>
      </c>
      <c r="B144" s="121">
        <v>3</v>
      </c>
      <c r="C144" s="126">
        <v>2</v>
      </c>
      <c r="D144" s="127">
        <v>3</v>
      </c>
      <c r="E144" s="127">
        <v>2</v>
      </c>
      <c r="F144" s="127">
        <v>1</v>
      </c>
      <c r="G144" s="128"/>
      <c r="H144" s="302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300">
        <f>SUM(J144:U144)</f>
        <v>0</v>
      </c>
      <c r="W144" s="300">
        <f>I144-V144</f>
        <v>0</v>
      </c>
      <c r="X144" s="282">
        <f t="shared" si="25"/>
        <v>2</v>
      </c>
    </row>
    <row r="145" spans="1:24" s="122" customFormat="1" hidden="1" x14ac:dyDescent="0.2">
      <c r="A145" s="113">
        <v>23</v>
      </c>
      <c r="B145" s="121">
        <v>4</v>
      </c>
      <c r="C145" s="126">
        <v>2</v>
      </c>
      <c r="D145" s="127">
        <v>3</v>
      </c>
      <c r="E145" s="127">
        <v>2</v>
      </c>
      <c r="F145" s="127">
        <v>2</v>
      </c>
      <c r="G145" s="128" t="s">
        <v>154</v>
      </c>
      <c r="H145" s="302" t="s">
        <v>267</v>
      </c>
      <c r="I145" s="299">
        <v>0</v>
      </c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300">
        <f>SUM(J145:U145)</f>
        <v>0</v>
      </c>
      <c r="W145" s="300">
        <f>I145-V145</f>
        <v>0</v>
      </c>
      <c r="X145" s="282">
        <f t="shared" si="25"/>
        <v>2</v>
      </c>
    </row>
    <row r="146" spans="1:24" s="114" customFormat="1" hidden="1" x14ac:dyDescent="0.2">
      <c r="A146" s="113">
        <v>23</v>
      </c>
      <c r="B146" s="129">
        <v>3</v>
      </c>
      <c r="C146" s="130">
        <v>2</v>
      </c>
      <c r="D146" s="131">
        <v>3</v>
      </c>
      <c r="E146" s="131">
        <v>2</v>
      </c>
      <c r="F146" s="131">
        <v>3</v>
      </c>
      <c r="G146" s="132"/>
      <c r="H146" s="302" t="s">
        <v>268</v>
      </c>
      <c r="I146" s="299">
        <v>100000</v>
      </c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300">
        <f>SUM(J146:U146)</f>
        <v>0</v>
      </c>
      <c r="W146" s="300">
        <f>I146-V146</f>
        <v>100000</v>
      </c>
      <c r="X146" s="282">
        <f t="shared" si="25"/>
        <v>1</v>
      </c>
    </row>
    <row r="147" spans="1:24" s="114" customFormat="1" hidden="1" x14ac:dyDescent="0.2">
      <c r="A147" s="113">
        <v>23</v>
      </c>
      <c r="B147" s="129">
        <v>3</v>
      </c>
      <c r="C147" s="130"/>
      <c r="D147" s="131"/>
      <c r="E147" s="131">
        <v>2</v>
      </c>
      <c r="F147" s="131">
        <v>4</v>
      </c>
      <c r="G147" s="132"/>
      <c r="H147" s="302" t="s">
        <v>269</v>
      </c>
      <c r="I147" s="299">
        <v>18000</v>
      </c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300">
        <f>SUM(J147:U147)</f>
        <v>0</v>
      </c>
      <c r="W147" s="300">
        <f>I147-V147</f>
        <v>18000</v>
      </c>
      <c r="X147" s="282">
        <f t="shared" ref="X147:X208" si="42">IF(SUM(I147:W147)&gt;=1,1,2)</f>
        <v>1</v>
      </c>
    </row>
    <row r="148" spans="1:24" s="122" customFormat="1" hidden="1" x14ac:dyDescent="0.2">
      <c r="A148" s="113"/>
      <c r="B148" s="149"/>
      <c r="C148" s="149"/>
      <c r="D148" s="149"/>
      <c r="E148" s="149"/>
      <c r="F148" s="149"/>
      <c r="G148" s="149"/>
      <c r="H148" s="14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2">
        <v>3</v>
      </c>
    </row>
    <row r="149" spans="1:24" s="122" customFormat="1" x14ac:dyDescent="0.2">
      <c r="A149" s="113">
        <v>23</v>
      </c>
      <c r="B149" s="121">
        <v>2</v>
      </c>
      <c r="C149" s="292">
        <v>2</v>
      </c>
      <c r="D149" s="293">
        <v>3</v>
      </c>
      <c r="E149" s="293">
        <v>3</v>
      </c>
      <c r="F149" s="293"/>
      <c r="G149" s="324"/>
      <c r="H149" s="335" t="s">
        <v>270</v>
      </c>
      <c r="I149" s="296">
        <f t="shared" ref="I149:W149" si="43">SUM(I150:I153)</f>
        <v>400000</v>
      </c>
      <c r="J149" s="296">
        <f t="shared" si="43"/>
        <v>0</v>
      </c>
      <c r="K149" s="296">
        <f t="shared" si="43"/>
        <v>0</v>
      </c>
      <c r="L149" s="296">
        <f t="shared" si="43"/>
        <v>0</v>
      </c>
      <c r="M149" s="296">
        <f t="shared" si="43"/>
        <v>0</v>
      </c>
      <c r="N149" s="296">
        <f t="shared" si="43"/>
        <v>0</v>
      </c>
      <c r="O149" s="296">
        <f t="shared" si="43"/>
        <v>0</v>
      </c>
      <c r="P149" s="296">
        <f t="shared" si="43"/>
        <v>0</v>
      </c>
      <c r="Q149" s="296">
        <f t="shared" si="43"/>
        <v>0</v>
      </c>
      <c r="R149" s="296">
        <f t="shared" si="43"/>
        <v>0</v>
      </c>
      <c r="S149" s="296">
        <f t="shared" si="43"/>
        <v>0</v>
      </c>
      <c r="T149" s="296">
        <f t="shared" si="43"/>
        <v>0</v>
      </c>
      <c r="U149" s="296">
        <f t="shared" si="43"/>
        <v>0</v>
      </c>
      <c r="V149" s="296">
        <f t="shared" si="43"/>
        <v>0</v>
      </c>
      <c r="W149" s="296">
        <f t="shared" si="43"/>
        <v>400000</v>
      </c>
      <c r="X149" s="282">
        <f t="shared" si="42"/>
        <v>1</v>
      </c>
    </row>
    <row r="150" spans="1:24" s="114" customFormat="1" hidden="1" x14ac:dyDescent="0.2">
      <c r="A150" s="113">
        <v>23</v>
      </c>
      <c r="B150" s="62">
        <v>3</v>
      </c>
      <c r="C150" s="130">
        <v>2</v>
      </c>
      <c r="D150" s="131">
        <v>3</v>
      </c>
      <c r="E150" s="131">
        <v>3</v>
      </c>
      <c r="F150" s="131">
        <v>1</v>
      </c>
      <c r="G150" s="132"/>
      <c r="H150" s="302" t="s">
        <v>271</v>
      </c>
      <c r="I150" s="299">
        <v>100000</v>
      </c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300">
        <f>SUM(J150:U150)</f>
        <v>0</v>
      </c>
      <c r="W150" s="300">
        <f>I150-V150</f>
        <v>100000</v>
      </c>
      <c r="X150" s="282">
        <f t="shared" si="42"/>
        <v>1</v>
      </c>
    </row>
    <row r="151" spans="1:24" s="114" customFormat="1" hidden="1" x14ac:dyDescent="0.2">
      <c r="A151" s="113">
        <v>23</v>
      </c>
      <c r="B151" s="62">
        <v>3</v>
      </c>
      <c r="C151" s="130">
        <v>2</v>
      </c>
      <c r="D151" s="131">
        <v>3</v>
      </c>
      <c r="E151" s="131">
        <v>3</v>
      </c>
      <c r="F151" s="131">
        <v>2</v>
      </c>
      <c r="G151" s="132"/>
      <c r="H151" s="302" t="s">
        <v>272</v>
      </c>
      <c r="I151" s="299">
        <v>75000</v>
      </c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300">
        <f>SUM(J151:U151)</f>
        <v>0</v>
      </c>
      <c r="W151" s="300">
        <f>I151-V151</f>
        <v>75000</v>
      </c>
      <c r="X151" s="282">
        <f t="shared" si="42"/>
        <v>1</v>
      </c>
    </row>
    <row r="152" spans="1:24" s="114" customFormat="1" hidden="1" x14ac:dyDescent="0.2">
      <c r="A152" s="113">
        <v>23</v>
      </c>
      <c r="B152" s="129">
        <v>3</v>
      </c>
      <c r="C152" s="130">
        <v>2</v>
      </c>
      <c r="D152" s="131">
        <v>3</v>
      </c>
      <c r="E152" s="131">
        <v>3</v>
      </c>
      <c r="F152" s="131">
        <v>3</v>
      </c>
      <c r="G152" s="132"/>
      <c r="H152" s="302" t="s">
        <v>273</v>
      </c>
      <c r="I152" s="299">
        <v>150000</v>
      </c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300">
        <f>SUM(J152:U152)</f>
        <v>0</v>
      </c>
      <c r="W152" s="300">
        <f>I152-V152</f>
        <v>150000</v>
      </c>
      <c r="X152" s="282">
        <f t="shared" si="42"/>
        <v>1</v>
      </c>
    </row>
    <row r="153" spans="1:24" s="114" customFormat="1" hidden="1" x14ac:dyDescent="0.2">
      <c r="A153" s="113">
        <v>23</v>
      </c>
      <c r="B153" s="129">
        <v>3</v>
      </c>
      <c r="C153" s="130">
        <v>2</v>
      </c>
      <c r="D153" s="131">
        <v>3</v>
      </c>
      <c r="E153" s="131">
        <v>3</v>
      </c>
      <c r="F153" s="131">
        <v>4</v>
      </c>
      <c r="G153" s="132"/>
      <c r="H153" s="302" t="s">
        <v>274</v>
      </c>
      <c r="I153" s="299">
        <v>75000</v>
      </c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300">
        <f>SUM(J153:U153)</f>
        <v>0</v>
      </c>
      <c r="W153" s="300">
        <f>I153-V153</f>
        <v>75000</v>
      </c>
      <c r="X153" s="282">
        <f t="shared" si="42"/>
        <v>1</v>
      </c>
    </row>
    <row r="154" spans="1:24" s="122" customFormat="1" hidden="1" x14ac:dyDescent="0.2">
      <c r="A154" s="113"/>
      <c r="B154" s="149"/>
      <c r="C154" s="149"/>
      <c r="D154" s="149"/>
      <c r="E154" s="149"/>
      <c r="F154" s="149"/>
      <c r="G154" s="149"/>
      <c r="H154" s="14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2">
        <v>3</v>
      </c>
    </row>
    <row r="155" spans="1:24" s="122" customFormat="1" x14ac:dyDescent="0.2">
      <c r="A155" s="113">
        <v>23</v>
      </c>
      <c r="B155" s="121">
        <v>2</v>
      </c>
      <c r="C155" s="292">
        <v>2</v>
      </c>
      <c r="D155" s="293">
        <v>3</v>
      </c>
      <c r="E155" s="293">
        <v>4</v>
      </c>
      <c r="F155" s="293"/>
      <c r="G155" s="324"/>
      <c r="H155" s="335" t="s">
        <v>275</v>
      </c>
      <c r="I155" s="296">
        <f t="shared" ref="I155:W155" si="44">+I156</f>
        <v>10000</v>
      </c>
      <c r="J155" s="296">
        <f t="shared" si="44"/>
        <v>0</v>
      </c>
      <c r="K155" s="296">
        <f t="shared" si="44"/>
        <v>0</v>
      </c>
      <c r="L155" s="296">
        <f t="shared" si="44"/>
        <v>0</v>
      </c>
      <c r="M155" s="296">
        <f t="shared" si="44"/>
        <v>0</v>
      </c>
      <c r="N155" s="296">
        <f t="shared" si="44"/>
        <v>0</v>
      </c>
      <c r="O155" s="296">
        <f t="shared" si="44"/>
        <v>0</v>
      </c>
      <c r="P155" s="296">
        <f t="shared" si="44"/>
        <v>0</v>
      </c>
      <c r="Q155" s="296">
        <f t="shared" si="44"/>
        <v>0</v>
      </c>
      <c r="R155" s="296">
        <f t="shared" si="44"/>
        <v>0</v>
      </c>
      <c r="S155" s="296">
        <f t="shared" si="44"/>
        <v>0</v>
      </c>
      <c r="T155" s="296">
        <f t="shared" si="44"/>
        <v>0</v>
      </c>
      <c r="U155" s="296">
        <f t="shared" si="44"/>
        <v>0</v>
      </c>
      <c r="V155" s="296">
        <f t="shared" si="44"/>
        <v>0</v>
      </c>
      <c r="W155" s="296">
        <f t="shared" si="44"/>
        <v>10000</v>
      </c>
      <c r="X155" s="282">
        <f t="shared" si="42"/>
        <v>1</v>
      </c>
    </row>
    <row r="156" spans="1:24" s="114" customFormat="1" hidden="1" x14ac:dyDescent="0.2">
      <c r="A156" s="113">
        <v>23</v>
      </c>
      <c r="B156" s="62">
        <v>3</v>
      </c>
      <c r="C156" s="130">
        <v>2</v>
      </c>
      <c r="D156" s="131">
        <v>3</v>
      </c>
      <c r="E156" s="131">
        <v>4</v>
      </c>
      <c r="F156" s="131">
        <v>1</v>
      </c>
      <c r="G156" s="132"/>
      <c r="H156" s="302" t="s">
        <v>276</v>
      </c>
      <c r="I156" s="299">
        <v>10000</v>
      </c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300">
        <f>SUM(J156:U156)</f>
        <v>0</v>
      </c>
      <c r="W156" s="300">
        <f>I156-V156</f>
        <v>10000</v>
      </c>
      <c r="X156" s="282">
        <f t="shared" si="42"/>
        <v>1</v>
      </c>
    </row>
    <row r="157" spans="1:24" s="122" customFormat="1" hidden="1" x14ac:dyDescent="0.2">
      <c r="A157" s="113"/>
      <c r="B157" s="149"/>
      <c r="C157" s="149"/>
      <c r="D157" s="149"/>
      <c r="E157" s="149"/>
      <c r="F157" s="149"/>
      <c r="G157" s="149"/>
      <c r="H157" s="14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2">
        <v>3</v>
      </c>
    </row>
    <row r="158" spans="1:24" s="122" customFormat="1" ht="21.75" x14ac:dyDescent="0.2">
      <c r="A158" s="113">
        <v>23</v>
      </c>
      <c r="B158" s="121">
        <v>2</v>
      </c>
      <c r="C158" s="292">
        <v>2</v>
      </c>
      <c r="D158" s="293">
        <v>3</v>
      </c>
      <c r="E158" s="293">
        <v>5</v>
      </c>
      <c r="F158" s="293"/>
      <c r="G158" s="324"/>
      <c r="H158" s="335" t="s">
        <v>277</v>
      </c>
      <c r="I158" s="296">
        <f t="shared" ref="I158:W158" si="45">SUM(I159:I161)</f>
        <v>375000</v>
      </c>
      <c r="J158" s="296">
        <f t="shared" si="45"/>
        <v>0</v>
      </c>
      <c r="K158" s="296">
        <f t="shared" si="45"/>
        <v>0</v>
      </c>
      <c r="L158" s="296">
        <f t="shared" si="45"/>
        <v>0</v>
      </c>
      <c r="M158" s="296">
        <f t="shared" si="45"/>
        <v>0</v>
      </c>
      <c r="N158" s="296">
        <f t="shared" si="45"/>
        <v>0</v>
      </c>
      <c r="O158" s="296">
        <f t="shared" si="45"/>
        <v>0</v>
      </c>
      <c r="P158" s="296">
        <f t="shared" si="45"/>
        <v>0</v>
      </c>
      <c r="Q158" s="296">
        <f t="shared" si="45"/>
        <v>0</v>
      </c>
      <c r="R158" s="296">
        <f t="shared" si="45"/>
        <v>0</v>
      </c>
      <c r="S158" s="296">
        <f t="shared" si="45"/>
        <v>0</v>
      </c>
      <c r="T158" s="296">
        <f t="shared" si="45"/>
        <v>0</v>
      </c>
      <c r="U158" s="296">
        <f t="shared" si="45"/>
        <v>0</v>
      </c>
      <c r="V158" s="296">
        <f t="shared" si="45"/>
        <v>0</v>
      </c>
      <c r="W158" s="296">
        <f t="shared" si="45"/>
        <v>375000</v>
      </c>
      <c r="X158" s="282">
        <f t="shared" si="42"/>
        <v>1</v>
      </c>
    </row>
    <row r="159" spans="1:24" s="114" customFormat="1" hidden="1" x14ac:dyDescent="0.2">
      <c r="A159" s="113">
        <v>23</v>
      </c>
      <c r="B159" s="62">
        <v>3</v>
      </c>
      <c r="C159" s="130">
        <v>2</v>
      </c>
      <c r="D159" s="131">
        <v>3</v>
      </c>
      <c r="E159" s="131">
        <v>5</v>
      </c>
      <c r="F159" s="131">
        <v>3</v>
      </c>
      <c r="G159" s="132"/>
      <c r="H159" s="302" t="s">
        <v>278</v>
      </c>
      <c r="I159" s="299">
        <v>350000</v>
      </c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300">
        <f>SUM(J159:U159)</f>
        <v>0</v>
      </c>
      <c r="W159" s="300">
        <f>I159-V159</f>
        <v>350000</v>
      </c>
      <c r="X159" s="282">
        <f t="shared" si="42"/>
        <v>1</v>
      </c>
    </row>
    <row r="160" spans="1:24" s="114" customFormat="1" hidden="1" x14ac:dyDescent="0.2">
      <c r="A160" s="113">
        <v>23</v>
      </c>
      <c r="B160" s="62">
        <v>3</v>
      </c>
      <c r="C160" s="130">
        <v>2</v>
      </c>
      <c r="D160" s="131">
        <v>3</v>
      </c>
      <c r="E160" s="131">
        <v>5</v>
      </c>
      <c r="F160" s="131">
        <v>4</v>
      </c>
      <c r="G160" s="132"/>
      <c r="H160" s="302" t="s">
        <v>279</v>
      </c>
      <c r="I160" s="299">
        <v>10000</v>
      </c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300">
        <f>SUM(J160:U160)</f>
        <v>0</v>
      </c>
      <c r="W160" s="300">
        <f>I160-V160</f>
        <v>10000</v>
      </c>
      <c r="X160" s="282">
        <f t="shared" si="42"/>
        <v>1</v>
      </c>
    </row>
    <row r="161" spans="1:24" s="114" customFormat="1" hidden="1" x14ac:dyDescent="0.2">
      <c r="A161" s="113">
        <v>23</v>
      </c>
      <c r="B161" s="62">
        <v>3</v>
      </c>
      <c r="C161" s="130">
        <v>2</v>
      </c>
      <c r="D161" s="131">
        <v>3</v>
      </c>
      <c r="E161" s="131">
        <v>5</v>
      </c>
      <c r="F161" s="131">
        <v>5</v>
      </c>
      <c r="G161" s="132"/>
      <c r="H161" s="302" t="s">
        <v>280</v>
      </c>
      <c r="I161" s="299">
        <v>15000</v>
      </c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300">
        <f>SUM(J161:U161)</f>
        <v>0</v>
      </c>
      <c r="W161" s="300">
        <f>I161-V161</f>
        <v>15000</v>
      </c>
      <c r="X161" s="282">
        <f t="shared" si="42"/>
        <v>1</v>
      </c>
    </row>
    <row r="162" spans="1:24" s="122" customFormat="1" hidden="1" x14ac:dyDescent="0.2">
      <c r="A162" s="113"/>
      <c r="B162" s="149"/>
      <c r="C162" s="149"/>
      <c r="D162" s="149"/>
      <c r="E162" s="149"/>
      <c r="F162" s="149"/>
      <c r="G162" s="149"/>
      <c r="H162" s="14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2">
        <v>3</v>
      </c>
    </row>
    <row r="163" spans="1:24" s="122" customFormat="1" x14ac:dyDescent="0.2">
      <c r="A163" s="113">
        <v>23</v>
      </c>
      <c r="B163" s="121">
        <v>2</v>
      </c>
      <c r="C163" s="292">
        <v>2</v>
      </c>
      <c r="D163" s="293">
        <v>3</v>
      </c>
      <c r="E163" s="293">
        <v>6</v>
      </c>
      <c r="F163" s="293"/>
      <c r="G163" s="324"/>
      <c r="H163" s="335" t="s">
        <v>281</v>
      </c>
      <c r="I163" s="296">
        <f>SUM(I164,I165,I166)</f>
        <v>13000</v>
      </c>
      <c r="J163" s="296">
        <f t="shared" ref="J163:V163" si="46">SUM(J164,J165,J167)</f>
        <v>0</v>
      </c>
      <c r="K163" s="296">
        <f t="shared" si="46"/>
        <v>0</v>
      </c>
      <c r="L163" s="296">
        <f t="shared" si="46"/>
        <v>0</v>
      </c>
      <c r="M163" s="296">
        <f t="shared" si="46"/>
        <v>0</v>
      </c>
      <c r="N163" s="296">
        <f t="shared" si="46"/>
        <v>0</v>
      </c>
      <c r="O163" s="296">
        <f t="shared" si="46"/>
        <v>0</v>
      </c>
      <c r="P163" s="296">
        <f t="shared" si="46"/>
        <v>0</v>
      </c>
      <c r="Q163" s="296">
        <f t="shared" si="46"/>
        <v>0</v>
      </c>
      <c r="R163" s="296">
        <f t="shared" si="46"/>
        <v>0</v>
      </c>
      <c r="S163" s="296">
        <f t="shared" si="46"/>
        <v>0</v>
      </c>
      <c r="T163" s="296">
        <f t="shared" si="46"/>
        <v>0</v>
      </c>
      <c r="U163" s="296">
        <f t="shared" si="46"/>
        <v>0</v>
      </c>
      <c r="V163" s="296">
        <f t="shared" si="46"/>
        <v>0</v>
      </c>
      <c r="W163" s="296">
        <f>SUM(W164,W165,W166)</f>
        <v>13000</v>
      </c>
      <c r="X163" s="282">
        <f t="shared" si="42"/>
        <v>1</v>
      </c>
    </row>
    <row r="164" spans="1:24" s="342" customFormat="1" hidden="1" x14ac:dyDescent="0.2">
      <c r="A164" s="113">
        <v>23</v>
      </c>
      <c r="B164" s="62">
        <v>3</v>
      </c>
      <c r="C164" s="336">
        <v>2</v>
      </c>
      <c r="D164" s="337">
        <v>3</v>
      </c>
      <c r="E164" s="337">
        <v>6</v>
      </c>
      <c r="F164" s="337">
        <v>1</v>
      </c>
      <c r="G164" s="338"/>
      <c r="H164" s="339" t="s">
        <v>283</v>
      </c>
      <c r="I164" s="340">
        <v>2500</v>
      </c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1">
        <f t="shared" ref="V164:V165" si="47">SUM(J164:U164)</f>
        <v>0</v>
      </c>
      <c r="W164" s="341">
        <f>I164-V164</f>
        <v>2500</v>
      </c>
      <c r="X164" s="282">
        <f t="shared" si="42"/>
        <v>1</v>
      </c>
    </row>
    <row r="165" spans="1:24" s="342" customFormat="1" hidden="1" x14ac:dyDescent="0.2">
      <c r="A165" s="113">
        <v>23</v>
      </c>
      <c r="B165" s="62">
        <v>3</v>
      </c>
      <c r="C165" s="336">
        <v>2</v>
      </c>
      <c r="D165" s="337">
        <v>3</v>
      </c>
      <c r="E165" s="337">
        <v>6</v>
      </c>
      <c r="F165" s="337">
        <v>2</v>
      </c>
      <c r="G165" s="338"/>
      <c r="H165" s="339" t="s">
        <v>282</v>
      </c>
      <c r="I165" s="341">
        <v>5000</v>
      </c>
      <c r="J165" s="341">
        <f t="shared" ref="J165:U165" si="48">J166</f>
        <v>0</v>
      </c>
      <c r="K165" s="341">
        <f t="shared" si="48"/>
        <v>0</v>
      </c>
      <c r="L165" s="341">
        <f t="shared" si="48"/>
        <v>0</v>
      </c>
      <c r="M165" s="341">
        <f t="shared" si="48"/>
        <v>0</v>
      </c>
      <c r="N165" s="341">
        <f t="shared" si="48"/>
        <v>0</v>
      </c>
      <c r="O165" s="341">
        <f t="shared" si="48"/>
        <v>0</v>
      </c>
      <c r="P165" s="341">
        <f t="shared" si="48"/>
        <v>0</v>
      </c>
      <c r="Q165" s="341">
        <f t="shared" si="48"/>
        <v>0</v>
      </c>
      <c r="R165" s="341">
        <f t="shared" si="48"/>
        <v>0</v>
      </c>
      <c r="S165" s="341">
        <f t="shared" si="48"/>
        <v>0</v>
      </c>
      <c r="T165" s="341">
        <f t="shared" si="48"/>
        <v>0</v>
      </c>
      <c r="U165" s="341">
        <f t="shared" si="48"/>
        <v>0</v>
      </c>
      <c r="V165" s="341">
        <f t="shared" si="47"/>
        <v>0</v>
      </c>
      <c r="W165" s="341">
        <f>I165-V165</f>
        <v>5000</v>
      </c>
      <c r="X165" s="282">
        <f t="shared" si="42"/>
        <v>1</v>
      </c>
    </row>
    <row r="166" spans="1:24" s="114" customFormat="1" hidden="1" x14ac:dyDescent="0.2">
      <c r="A166" s="113">
        <v>23</v>
      </c>
      <c r="B166" s="121">
        <v>4</v>
      </c>
      <c r="C166" s="336">
        <v>2</v>
      </c>
      <c r="D166" s="337">
        <v>3</v>
      </c>
      <c r="E166" s="337">
        <v>6</v>
      </c>
      <c r="F166" s="337">
        <v>3</v>
      </c>
      <c r="G166" s="338"/>
      <c r="H166" s="339" t="s">
        <v>283</v>
      </c>
      <c r="I166" s="341">
        <f>SUM(I167:I169)</f>
        <v>5500</v>
      </c>
      <c r="J166" s="341">
        <f t="shared" ref="J166:W166" si="49">SUM(J167:J169)</f>
        <v>0</v>
      </c>
      <c r="K166" s="341">
        <f t="shared" si="49"/>
        <v>0</v>
      </c>
      <c r="L166" s="341">
        <f t="shared" si="49"/>
        <v>0</v>
      </c>
      <c r="M166" s="341">
        <f t="shared" si="49"/>
        <v>0</v>
      </c>
      <c r="N166" s="341">
        <f t="shared" si="49"/>
        <v>0</v>
      </c>
      <c r="O166" s="341">
        <f t="shared" si="49"/>
        <v>0</v>
      </c>
      <c r="P166" s="341">
        <f t="shared" si="49"/>
        <v>0</v>
      </c>
      <c r="Q166" s="341">
        <f t="shared" si="49"/>
        <v>0</v>
      </c>
      <c r="R166" s="341">
        <f t="shared" si="49"/>
        <v>0</v>
      </c>
      <c r="S166" s="341">
        <f t="shared" si="49"/>
        <v>0</v>
      </c>
      <c r="T166" s="341">
        <f t="shared" si="49"/>
        <v>0</v>
      </c>
      <c r="U166" s="341">
        <f t="shared" si="49"/>
        <v>0</v>
      </c>
      <c r="V166" s="341">
        <f t="shared" si="49"/>
        <v>0</v>
      </c>
      <c r="W166" s="341">
        <f t="shared" si="49"/>
        <v>5500</v>
      </c>
      <c r="X166" s="282">
        <f t="shared" si="42"/>
        <v>1</v>
      </c>
    </row>
    <row r="167" spans="1:24" s="342" customFormat="1" hidden="1" x14ac:dyDescent="0.2">
      <c r="A167" s="113">
        <v>23</v>
      </c>
      <c r="B167" s="62">
        <v>3</v>
      </c>
      <c r="C167" s="336">
        <v>2</v>
      </c>
      <c r="D167" s="337">
        <v>3</v>
      </c>
      <c r="E167" s="337">
        <v>6</v>
      </c>
      <c r="F167" s="337">
        <v>3</v>
      </c>
      <c r="G167" s="338" t="s">
        <v>162</v>
      </c>
      <c r="H167" s="339" t="s">
        <v>348</v>
      </c>
      <c r="I167" s="340">
        <v>2500</v>
      </c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>
        <f t="shared" ref="V167:V169" si="50">SUM(J167:U167)</f>
        <v>0</v>
      </c>
      <c r="W167" s="341">
        <f t="shared" ref="W167:W169" si="51">I167-V167</f>
        <v>2500</v>
      </c>
      <c r="X167" s="282">
        <f t="shared" si="42"/>
        <v>1</v>
      </c>
    </row>
    <row r="168" spans="1:24" s="342" customFormat="1" hidden="1" x14ac:dyDescent="0.2">
      <c r="A168" s="113">
        <v>23</v>
      </c>
      <c r="B168" s="121">
        <v>4</v>
      </c>
      <c r="C168" s="336">
        <v>2</v>
      </c>
      <c r="D168" s="337">
        <v>3</v>
      </c>
      <c r="E168" s="337">
        <v>6</v>
      </c>
      <c r="F168" s="337">
        <v>3</v>
      </c>
      <c r="G168" s="338" t="s">
        <v>230</v>
      </c>
      <c r="H168" s="339" t="s">
        <v>349</v>
      </c>
      <c r="I168" s="340">
        <v>0</v>
      </c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>
        <f t="shared" si="50"/>
        <v>0</v>
      </c>
      <c r="W168" s="341">
        <f t="shared" si="51"/>
        <v>0</v>
      </c>
      <c r="X168" s="282">
        <f t="shared" si="42"/>
        <v>2</v>
      </c>
    </row>
    <row r="169" spans="1:24" s="342" customFormat="1" hidden="1" x14ac:dyDescent="0.2">
      <c r="A169" s="113">
        <v>23</v>
      </c>
      <c r="B169" s="121">
        <v>4</v>
      </c>
      <c r="C169" s="336">
        <v>2</v>
      </c>
      <c r="D169" s="337">
        <v>3</v>
      </c>
      <c r="E169" s="337">
        <v>6</v>
      </c>
      <c r="F169" s="337">
        <v>3</v>
      </c>
      <c r="G169" s="338" t="s">
        <v>178</v>
      </c>
      <c r="H169" s="339" t="s">
        <v>350</v>
      </c>
      <c r="I169" s="340">
        <v>3000</v>
      </c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>
        <f t="shared" si="50"/>
        <v>0</v>
      </c>
      <c r="W169" s="341">
        <f t="shared" si="51"/>
        <v>3000</v>
      </c>
      <c r="X169" s="282">
        <f t="shared" si="42"/>
        <v>1</v>
      </c>
    </row>
    <row r="170" spans="1:24" s="122" customFormat="1" hidden="1" x14ac:dyDescent="0.2">
      <c r="A170" s="113"/>
      <c r="B170" s="149"/>
      <c r="C170" s="149"/>
      <c r="D170" s="149"/>
      <c r="E170" s="149"/>
      <c r="F170" s="149"/>
      <c r="G170" s="149"/>
      <c r="H170" s="14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2">
        <v>3</v>
      </c>
    </row>
    <row r="171" spans="1:24" s="122" customFormat="1" ht="21.75" x14ac:dyDescent="0.2">
      <c r="A171" s="113">
        <v>23</v>
      </c>
      <c r="B171" s="121">
        <v>2</v>
      </c>
      <c r="C171" s="292">
        <v>2</v>
      </c>
      <c r="D171" s="293">
        <v>3</v>
      </c>
      <c r="E171" s="293">
        <v>7</v>
      </c>
      <c r="F171" s="293"/>
      <c r="G171" s="324"/>
      <c r="H171" s="335" t="s">
        <v>284</v>
      </c>
      <c r="I171" s="296">
        <f t="shared" ref="I171:W171" si="52">+I172+I177</f>
        <v>2565000</v>
      </c>
      <c r="J171" s="296">
        <f t="shared" si="52"/>
        <v>0</v>
      </c>
      <c r="K171" s="296">
        <f t="shared" si="52"/>
        <v>0</v>
      </c>
      <c r="L171" s="296">
        <f t="shared" si="52"/>
        <v>0</v>
      </c>
      <c r="M171" s="296">
        <f t="shared" si="52"/>
        <v>0</v>
      </c>
      <c r="N171" s="296">
        <f t="shared" si="52"/>
        <v>0</v>
      </c>
      <c r="O171" s="296">
        <f t="shared" si="52"/>
        <v>0</v>
      </c>
      <c r="P171" s="296">
        <f t="shared" si="52"/>
        <v>0</v>
      </c>
      <c r="Q171" s="296">
        <f t="shared" si="52"/>
        <v>0</v>
      </c>
      <c r="R171" s="296">
        <f t="shared" si="52"/>
        <v>0</v>
      </c>
      <c r="S171" s="296">
        <f t="shared" si="52"/>
        <v>0</v>
      </c>
      <c r="T171" s="296">
        <f t="shared" si="52"/>
        <v>0</v>
      </c>
      <c r="U171" s="296">
        <f t="shared" si="52"/>
        <v>0</v>
      </c>
      <c r="V171" s="296">
        <f t="shared" si="52"/>
        <v>0</v>
      </c>
      <c r="W171" s="296">
        <f t="shared" si="52"/>
        <v>2565000</v>
      </c>
      <c r="X171" s="282">
        <f t="shared" si="42"/>
        <v>1</v>
      </c>
    </row>
    <row r="172" spans="1:24" s="114" customFormat="1" hidden="1" x14ac:dyDescent="0.2">
      <c r="A172" s="113">
        <v>23</v>
      </c>
      <c r="B172" s="62">
        <v>3</v>
      </c>
      <c r="C172" s="292">
        <v>2</v>
      </c>
      <c r="D172" s="293">
        <v>3</v>
      </c>
      <c r="E172" s="293">
        <v>7</v>
      </c>
      <c r="F172" s="293">
        <v>1</v>
      </c>
      <c r="G172" s="294"/>
      <c r="H172" s="295" t="s">
        <v>285</v>
      </c>
      <c r="I172" s="296">
        <f t="shared" ref="I172:W172" si="53">SUM(I173:I176)</f>
        <v>2540000</v>
      </c>
      <c r="J172" s="296">
        <f t="shared" si="53"/>
        <v>0</v>
      </c>
      <c r="K172" s="296">
        <f t="shared" si="53"/>
        <v>0</v>
      </c>
      <c r="L172" s="296">
        <f t="shared" si="53"/>
        <v>0</v>
      </c>
      <c r="M172" s="296">
        <f t="shared" si="53"/>
        <v>0</v>
      </c>
      <c r="N172" s="296">
        <f t="shared" si="53"/>
        <v>0</v>
      </c>
      <c r="O172" s="296">
        <f t="shared" si="53"/>
        <v>0</v>
      </c>
      <c r="P172" s="296">
        <f t="shared" si="53"/>
        <v>0</v>
      </c>
      <c r="Q172" s="296">
        <f t="shared" si="53"/>
        <v>0</v>
      </c>
      <c r="R172" s="296">
        <f t="shared" si="53"/>
        <v>0</v>
      </c>
      <c r="S172" s="296">
        <f t="shared" si="53"/>
        <v>0</v>
      </c>
      <c r="T172" s="296">
        <f t="shared" si="53"/>
        <v>0</v>
      </c>
      <c r="U172" s="296">
        <f t="shared" si="53"/>
        <v>0</v>
      </c>
      <c r="V172" s="296">
        <f t="shared" si="53"/>
        <v>0</v>
      </c>
      <c r="W172" s="296">
        <f t="shared" si="53"/>
        <v>2540000</v>
      </c>
      <c r="X172" s="282">
        <f t="shared" si="42"/>
        <v>1</v>
      </c>
    </row>
    <row r="173" spans="1:24" s="122" customFormat="1" hidden="1" x14ac:dyDescent="0.2">
      <c r="A173" s="113">
        <v>23</v>
      </c>
      <c r="B173" s="121">
        <v>4</v>
      </c>
      <c r="C173" s="126">
        <v>2</v>
      </c>
      <c r="D173" s="127">
        <v>3</v>
      </c>
      <c r="E173" s="127">
        <v>7</v>
      </c>
      <c r="F173" s="127">
        <v>1</v>
      </c>
      <c r="G173" s="128" t="s">
        <v>154</v>
      </c>
      <c r="H173" s="133" t="s">
        <v>286</v>
      </c>
      <c r="I173" s="299">
        <v>730000</v>
      </c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300">
        <f>SUM(J173:U173)</f>
        <v>0</v>
      </c>
      <c r="W173" s="300">
        <f>I173-V173</f>
        <v>730000</v>
      </c>
      <c r="X173" s="282">
        <f t="shared" si="42"/>
        <v>1</v>
      </c>
    </row>
    <row r="174" spans="1:24" s="122" customFormat="1" hidden="1" x14ac:dyDescent="0.2">
      <c r="A174" s="113">
        <v>23</v>
      </c>
      <c r="B174" s="121">
        <v>4</v>
      </c>
      <c r="C174" s="126">
        <v>2</v>
      </c>
      <c r="D174" s="127">
        <v>3</v>
      </c>
      <c r="E174" s="127">
        <v>7</v>
      </c>
      <c r="F174" s="127">
        <v>1</v>
      </c>
      <c r="G174" s="128" t="s">
        <v>158</v>
      </c>
      <c r="H174" s="133" t="s">
        <v>287</v>
      </c>
      <c r="I174" s="299">
        <v>1800000</v>
      </c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300">
        <f>SUM(J174:U174)</f>
        <v>0</v>
      </c>
      <c r="W174" s="300">
        <f>I174-V174</f>
        <v>1800000</v>
      </c>
      <c r="X174" s="282">
        <f t="shared" si="42"/>
        <v>1</v>
      </c>
    </row>
    <row r="175" spans="1:24" s="122" customFormat="1" hidden="1" x14ac:dyDescent="0.2">
      <c r="A175" s="113">
        <v>23</v>
      </c>
      <c r="B175" s="121">
        <v>4</v>
      </c>
      <c r="C175" s="126">
        <v>2</v>
      </c>
      <c r="D175" s="127">
        <v>3</v>
      </c>
      <c r="E175" s="127">
        <v>7</v>
      </c>
      <c r="F175" s="127">
        <v>1</v>
      </c>
      <c r="G175" s="128" t="s">
        <v>162</v>
      </c>
      <c r="H175" s="133" t="s">
        <v>288</v>
      </c>
      <c r="I175" s="299">
        <v>0</v>
      </c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300">
        <f>SUM(J175:U175)</f>
        <v>0</v>
      </c>
      <c r="W175" s="300">
        <f>I175-V175</f>
        <v>0</v>
      </c>
      <c r="X175" s="282">
        <f t="shared" si="42"/>
        <v>2</v>
      </c>
    </row>
    <row r="176" spans="1:24" s="122" customFormat="1" hidden="1" x14ac:dyDescent="0.2">
      <c r="A176" s="113">
        <v>23</v>
      </c>
      <c r="B176" s="121">
        <v>4</v>
      </c>
      <c r="C176" s="126">
        <v>2</v>
      </c>
      <c r="D176" s="127">
        <v>3</v>
      </c>
      <c r="E176" s="127">
        <v>7</v>
      </c>
      <c r="F176" s="127">
        <v>1</v>
      </c>
      <c r="G176" s="128" t="s">
        <v>178</v>
      </c>
      <c r="H176" s="133" t="s">
        <v>289</v>
      </c>
      <c r="I176" s="299">
        <v>10000</v>
      </c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300">
        <f>SUM(J176:U176)</f>
        <v>0</v>
      </c>
      <c r="W176" s="300">
        <f>I176-V176</f>
        <v>10000</v>
      </c>
      <c r="X176" s="282">
        <f t="shared" si="42"/>
        <v>1</v>
      </c>
    </row>
    <row r="177" spans="1:25" s="114" customFormat="1" hidden="1" x14ac:dyDescent="0.2">
      <c r="A177" s="291">
        <v>23</v>
      </c>
      <c r="B177" s="62"/>
      <c r="C177" s="311">
        <v>2</v>
      </c>
      <c r="D177" s="312">
        <v>3</v>
      </c>
      <c r="E177" s="312">
        <v>7</v>
      </c>
      <c r="F177" s="312">
        <v>2</v>
      </c>
      <c r="G177" s="313"/>
      <c r="H177" s="343"/>
      <c r="I177" s="344">
        <f t="shared" ref="I177:W177" si="54">SUM(I178:I180)</f>
        <v>25000</v>
      </c>
      <c r="J177" s="344">
        <f t="shared" si="54"/>
        <v>0</v>
      </c>
      <c r="K177" s="344">
        <f t="shared" si="54"/>
        <v>0</v>
      </c>
      <c r="L177" s="344">
        <f t="shared" si="54"/>
        <v>0</v>
      </c>
      <c r="M177" s="344">
        <f t="shared" si="54"/>
        <v>0</v>
      </c>
      <c r="N177" s="344">
        <f t="shared" si="54"/>
        <v>0</v>
      </c>
      <c r="O177" s="344">
        <f t="shared" si="54"/>
        <v>0</v>
      </c>
      <c r="P177" s="344">
        <f t="shared" si="54"/>
        <v>0</v>
      </c>
      <c r="Q177" s="344">
        <f t="shared" si="54"/>
        <v>0</v>
      </c>
      <c r="R177" s="344">
        <f t="shared" si="54"/>
        <v>0</v>
      </c>
      <c r="S177" s="344">
        <f t="shared" si="54"/>
        <v>0</v>
      </c>
      <c r="T177" s="344">
        <f t="shared" si="54"/>
        <v>0</v>
      </c>
      <c r="U177" s="344">
        <f t="shared" si="54"/>
        <v>0</v>
      </c>
      <c r="V177" s="344">
        <f t="shared" si="54"/>
        <v>0</v>
      </c>
      <c r="W177" s="344">
        <f t="shared" si="54"/>
        <v>25000</v>
      </c>
      <c r="X177" s="282">
        <f t="shared" si="42"/>
        <v>1</v>
      </c>
    </row>
    <row r="178" spans="1:25" s="122" customFormat="1" hidden="1" x14ac:dyDescent="0.2">
      <c r="A178" s="113">
        <v>23</v>
      </c>
      <c r="B178" s="121">
        <v>3</v>
      </c>
      <c r="C178" s="126">
        <v>2</v>
      </c>
      <c r="D178" s="127">
        <v>3</v>
      </c>
      <c r="E178" s="127">
        <v>7</v>
      </c>
      <c r="F178" s="127">
        <v>2</v>
      </c>
      <c r="G178" s="128" t="s">
        <v>164</v>
      </c>
      <c r="H178" s="133" t="s">
        <v>290</v>
      </c>
      <c r="I178" s="299">
        <v>10000</v>
      </c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300">
        <f>SUM(J178:U178)</f>
        <v>0</v>
      </c>
      <c r="W178" s="300">
        <f>I178-V178</f>
        <v>10000</v>
      </c>
      <c r="X178" s="282">
        <f t="shared" si="42"/>
        <v>1</v>
      </c>
    </row>
    <row r="179" spans="1:25" s="122" customFormat="1" hidden="1" x14ac:dyDescent="0.2">
      <c r="A179" s="113">
        <v>23</v>
      </c>
      <c r="B179" s="121">
        <v>3</v>
      </c>
      <c r="C179" s="126">
        <v>2</v>
      </c>
      <c r="D179" s="127">
        <v>3</v>
      </c>
      <c r="E179" s="127">
        <v>7</v>
      </c>
      <c r="F179" s="127">
        <v>2</v>
      </c>
      <c r="G179" s="128" t="s">
        <v>178</v>
      </c>
      <c r="H179" s="133" t="s">
        <v>291</v>
      </c>
      <c r="I179" s="299">
        <v>15000</v>
      </c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300">
        <f>SUM(J179:U179)</f>
        <v>0</v>
      </c>
      <c r="W179" s="300">
        <f>I179-V179</f>
        <v>15000</v>
      </c>
      <c r="X179" s="282">
        <f t="shared" si="42"/>
        <v>1</v>
      </c>
    </row>
    <row r="180" spans="1:25" s="122" customFormat="1" hidden="1" x14ac:dyDescent="0.2">
      <c r="A180" s="113">
        <v>23</v>
      </c>
      <c r="B180" s="121">
        <v>3</v>
      </c>
      <c r="C180" s="126">
        <v>2</v>
      </c>
      <c r="D180" s="127">
        <v>3</v>
      </c>
      <c r="E180" s="127">
        <v>7</v>
      </c>
      <c r="F180" s="127">
        <v>2</v>
      </c>
      <c r="G180" s="128" t="s">
        <v>232</v>
      </c>
      <c r="H180" s="135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300">
        <f>SUM(J180:U180)</f>
        <v>0</v>
      </c>
      <c r="W180" s="300">
        <f>I180-V180</f>
        <v>0</v>
      </c>
      <c r="X180" s="282">
        <f t="shared" si="42"/>
        <v>2</v>
      </c>
    </row>
    <row r="181" spans="1:25" s="122" customFormat="1" hidden="1" x14ac:dyDescent="0.2">
      <c r="A181" s="113"/>
      <c r="B181" s="149"/>
      <c r="C181" s="149"/>
      <c r="D181" s="149"/>
      <c r="E181" s="149"/>
      <c r="F181" s="149"/>
      <c r="G181" s="149"/>
      <c r="H181" s="14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2">
        <v>3</v>
      </c>
    </row>
    <row r="182" spans="1:25" s="122" customFormat="1" x14ac:dyDescent="0.2">
      <c r="A182" s="113">
        <v>23</v>
      </c>
      <c r="B182" s="121">
        <v>2</v>
      </c>
      <c r="C182" s="292">
        <v>2</v>
      </c>
      <c r="D182" s="293">
        <v>3</v>
      </c>
      <c r="E182" s="293">
        <v>9</v>
      </c>
      <c r="F182" s="293"/>
      <c r="G182" s="324"/>
      <c r="H182" s="335" t="s">
        <v>292</v>
      </c>
      <c r="I182" s="296">
        <f t="shared" ref="I182:W182" si="55">SUM(I183:I189)</f>
        <v>530000</v>
      </c>
      <c r="J182" s="296">
        <f t="shared" si="55"/>
        <v>0</v>
      </c>
      <c r="K182" s="296">
        <f t="shared" si="55"/>
        <v>0</v>
      </c>
      <c r="L182" s="296">
        <f t="shared" si="55"/>
        <v>0</v>
      </c>
      <c r="M182" s="296">
        <f t="shared" si="55"/>
        <v>0</v>
      </c>
      <c r="N182" s="296">
        <f t="shared" si="55"/>
        <v>0</v>
      </c>
      <c r="O182" s="296">
        <f t="shared" si="55"/>
        <v>0</v>
      </c>
      <c r="P182" s="296">
        <f t="shared" si="55"/>
        <v>0</v>
      </c>
      <c r="Q182" s="296">
        <f t="shared" si="55"/>
        <v>0</v>
      </c>
      <c r="R182" s="296">
        <f t="shared" si="55"/>
        <v>0</v>
      </c>
      <c r="S182" s="296">
        <f t="shared" si="55"/>
        <v>0</v>
      </c>
      <c r="T182" s="296">
        <f t="shared" si="55"/>
        <v>0</v>
      </c>
      <c r="U182" s="296">
        <f t="shared" si="55"/>
        <v>0</v>
      </c>
      <c r="V182" s="296">
        <f t="shared" si="55"/>
        <v>0</v>
      </c>
      <c r="W182" s="296">
        <f t="shared" si="55"/>
        <v>530000</v>
      </c>
      <c r="X182" s="282">
        <f t="shared" si="42"/>
        <v>1</v>
      </c>
      <c r="Y182" s="147"/>
    </row>
    <row r="183" spans="1:25" s="114" customFormat="1" hidden="1" x14ac:dyDescent="0.2">
      <c r="A183" s="113">
        <v>23</v>
      </c>
      <c r="B183" s="62">
        <v>3</v>
      </c>
      <c r="C183" s="130">
        <v>2</v>
      </c>
      <c r="D183" s="131">
        <v>3</v>
      </c>
      <c r="E183" s="131">
        <v>9</v>
      </c>
      <c r="F183" s="131">
        <v>1</v>
      </c>
      <c r="G183" s="132"/>
      <c r="H183" s="302" t="s">
        <v>293</v>
      </c>
      <c r="I183" s="299">
        <v>30000</v>
      </c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300">
        <f>SUM(J183:U183)</f>
        <v>0</v>
      </c>
      <c r="W183" s="300">
        <f t="shared" ref="W183:W188" si="56">I183-V183</f>
        <v>30000</v>
      </c>
      <c r="X183" s="282">
        <f t="shared" si="42"/>
        <v>1</v>
      </c>
    </row>
    <row r="184" spans="1:25" s="114" customFormat="1" hidden="1" x14ac:dyDescent="0.2">
      <c r="A184" s="113">
        <v>23</v>
      </c>
      <c r="B184" s="62">
        <v>3</v>
      </c>
      <c r="C184" s="130">
        <v>2</v>
      </c>
      <c r="D184" s="131">
        <v>3</v>
      </c>
      <c r="E184" s="131">
        <v>9</v>
      </c>
      <c r="F184" s="131">
        <v>2</v>
      </c>
      <c r="G184" s="132"/>
      <c r="H184" s="302" t="s">
        <v>294</v>
      </c>
      <c r="I184" s="299">
        <v>300000</v>
      </c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300">
        <f t="shared" ref="V184:V188" si="57">SUM(J184:U184)</f>
        <v>0</v>
      </c>
      <c r="W184" s="300">
        <f t="shared" si="56"/>
        <v>300000</v>
      </c>
      <c r="X184" s="282">
        <f t="shared" si="42"/>
        <v>1</v>
      </c>
    </row>
    <row r="185" spans="1:25" s="122" customFormat="1" hidden="1" x14ac:dyDescent="0.2">
      <c r="A185" s="113">
        <v>23</v>
      </c>
      <c r="B185" s="121">
        <v>4</v>
      </c>
      <c r="C185" s="126">
        <v>2</v>
      </c>
      <c r="D185" s="127">
        <v>3</v>
      </c>
      <c r="E185" s="127">
        <v>9</v>
      </c>
      <c r="F185" s="127">
        <v>3</v>
      </c>
      <c r="G185" s="128" t="s">
        <v>154</v>
      </c>
      <c r="H185" s="135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300">
        <f t="shared" si="57"/>
        <v>0</v>
      </c>
      <c r="W185" s="300">
        <f t="shared" si="56"/>
        <v>0</v>
      </c>
      <c r="X185" s="282">
        <f t="shared" si="42"/>
        <v>2</v>
      </c>
    </row>
    <row r="186" spans="1:25" s="114" customFormat="1" hidden="1" x14ac:dyDescent="0.2">
      <c r="A186" s="113">
        <v>23</v>
      </c>
      <c r="B186" s="62">
        <v>3</v>
      </c>
      <c r="C186" s="130">
        <v>2</v>
      </c>
      <c r="D186" s="131">
        <v>3</v>
      </c>
      <c r="E186" s="131">
        <v>9</v>
      </c>
      <c r="F186" s="131">
        <v>4</v>
      </c>
      <c r="G186" s="132"/>
      <c r="H186" s="302" t="s">
        <v>295</v>
      </c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300">
        <f t="shared" si="57"/>
        <v>0</v>
      </c>
      <c r="W186" s="300">
        <f t="shared" si="56"/>
        <v>0</v>
      </c>
      <c r="X186" s="282">
        <f t="shared" si="42"/>
        <v>2</v>
      </c>
    </row>
    <row r="187" spans="1:25" s="114" customFormat="1" hidden="1" x14ac:dyDescent="0.2">
      <c r="A187" s="113">
        <v>23</v>
      </c>
      <c r="B187" s="62">
        <v>3</v>
      </c>
      <c r="C187" s="130">
        <v>2</v>
      </c>
      <c r="D187" s="131">
        <v>3</v>
      </c>
      <c r="E187" s="131">
        <v>9</v>
      </c>
      <c r="F187" s="131">
        <v>5</v>
      </c>
      <c r="G187" s="132"/>
      <c r="H187" s="302" t="s">
        <v>296</v>
      </c>
      <c r="I187" s="299">
        <v>40000</v>
      </c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300">
        <f t="shared" si="57"/>
        <v>0</v>
      </c>
      <c r="W187" s="300">
        <f t="shared" si="56"/>
        <v>40000</v>
      </c>
      <c r="X187" s="282">
        <f t="shared" si="42"/>
        <v>1</v>
      </c>
    </row>
    <row r="188" spans="1:25" s="114" customFormat="1" hidden="1" x14ac:dyDescent="0.2">
      <c r="A188" s="113">
        <v>23</v>
      </c>
      <c r="B188" s="62">
        <v>3</v>
      </c>
      <c r="C188" s="130">
        <v>2</v>
      </c>
      <c r="D188" s="131">
        <v>3</v>
      </c>
      <c r="E188" s="131">
        <v>9</v>
      </c>
      <c r="F188" s="131">
        <v>6</v>
      </c>
      <c r="G188" s="132"/>
      <c r="H188" s="302" t="s">
        <v>297</v>
      </c>
      <c r="I188" s="299">
        <v>150000</v>
      </c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300">
        <f t="shared" si="57"/>
        <v>0</v>
      </c>
      <c r="W188" s="300">
        <f t="shared" si="56"/>
        <v>150000</v>
      </c>
      <c r="X188" s="282">
        <f t="shared" si="42"/>
        <v>1</v>
      </c>
    </row>
    <row r="189" spans="1:25" s="114" customFormat="1" hidden="1" x14ac:dyDescent="0.2">
      <c r="A189" s="113">
        <v>23</v>
      </c>
      <c r="B189" s="62">
        <v>3</v>
      </c>
      <c r="C189" s="292">
        <v>2</v>
      </c>
      <c r="D189" s="293">
        <v>3</v>
      </c>
      <c r="E189" s="293">
        <v>9</v>
      </c>
      <c r="F189" s="293">
        <v>9</v>
      </c>
      <c r="G189" s="294"/>
      <c r="H189" s="295"/>
      <c r="I189" s="296">
        <f>SUM(I190:I192)</f>
        <v>10000</v>
      </c>
      <c r="J189" s="296">
        <f t="shared" ref="J189:W189" si="58">SUM(J190:J192)</f>
        <v>0</v>
      </c>
      <c r="K189" s="296">
        <f t="shared" si="58"/>
        <v>0</v>
      </c>
      <c r="L189" s="296">
        <f t="shared" si="58"/>
        <v>0</v>
      </c>
      <c r="M189" s="296">
        <f t="shared" si="58"/>
        <v>0</v>
      </c>
      <c r="N189" s="296">
        <f t="shared" si="58"/>
        <v>0</v>
      </c>
      <c r="O189" s="296">
        <f t="shared" si="58"/>
        <v>0</v>
      </c>
      <c r="P189" s="296">
        <f t="shared" si="58"/>
        <v>0</v>
      </c>
      <c r="Q189" s="296">
        <f t="shared" si="58"/>
        <v>0</v>
      </c>
      <c r="R189" s="296">
        <f t="shared" si="58"/>
        <v>0</v>
      </c>
      <c r="S189" s="296">
        <f t="shared" si="58"/>
        <v>0</v>
      </c>
      <c r="T189" s="296">
        <f t="shared" si="58"/>
        <v>0</v>
      </c>
      <c r="U189" s="296">
        <f t="shared" si="58"/>
        <v>0</v>
      </c>
      <c r="V189" s="296">
        <f t="shared" si="58"/>
        <v>0</v>
      </c>
      <c r="W189" s="296">
        <f t="shared" si="58"/>
        <v>10000</v>
      </c>
      <c r="X189" s="282">
        <f t="shared" si="42"/>
        <v>1</v>
      </c>
    </row>
    <row r="190" spans="1:25" s="114" customFormat="1" hidden="1" x14ac:dyDescent="0.2">
      <c r="A190" s="113">
        <v>23</v>
      </c>
      <c r="B190" s="62">
        <v>3</v>
      </c>
      <c r="C190" s="130">
        <v>2</v>
      </c>
      <c r="D190" s="131">
        <v>3</v>
      </c>
      <c r="E190" s="131">
        <v>9</v>
      </c>
      <c r="F190" s="131">
        <v>9</v>
      </c>
      <c r="G190" s="128" t="s">
        <v>154</v>
      </c>
      <c r="H190" s="302" t="s">
        <v>298</v>
      </c>
      <c r="I190" s="299">
        <v>10000</v>
      </c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300">
        <f>SUM(J190:U190)</f>
        <v>0</v>
      </c>
      <c r="W190" s="300">
        <f>I190-V190</f>
        <v>10000</v>
      </c>
      <c r="X190" s="282">
        <f t="shared" si="42"/>
        <v>1</v>
      </c>
    </row>
    <row r="191" spans="1:25" s="114" customFormat="1" hidden="1" x14ac:dyDescent="0.2">
      <c r="A191" s="113">
        <v>23</v>
      </c>
      <c r="B191" s="129">
        <v>3</v>
      </c>
      <c r="C191" s="130">
        <v>2</v>
      </c>
      <c r="D191" s="131">
        <v>3</v>
      </c>
      <c r="E191" s="131">
        <v>9</v>
      </c>
      <c r="F191" s="131">
        <v>9</v>
      </c>
      <c r="G191" s="128" t="s">
        <v>158</v>
      </c>
      <c r="H191" s="136" t="s">
        <v>299</v>
      </c>
      <c r="I191" s="345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300">
        <f>SUM(J191:U191)</f>
        <v>0</v>
      </c>
      <c r="W191" s="300">
        <f>I191-V191</f>
        <v>0</v>
      </c>
      <c r="X191" s="282">
        <f t="shared" si="42"/>
        <v>2</v>
      </c>
    </row>
    <row r="192" spans="1:25" s="114" customFormat="1" hidden="1" x14ac:dyDescent="0.2">
      <c r="A192" s="113">
        <v>23</v>
      </c>
      <c r="B192" s="62">
        <v>3</v>
      </c>
      <c r="C192" s="130">
        <v>2</v>
      </c>
      <c r="D192" s="131">
        <v>3</v>
      </c>
      <c r="E192" s="131">
        <v>9</v>
      </c>
      <c r="F192" s="131">
        <v>9</v>
      </c>
      <c r="G192" s="128" t="s">
        <v>160</v>
      </c>
      <c r="H192" s="302" t="s">
        <v>300</v>
      </c>
      <c r="I192" s="299">
        <v>0</v>
      </c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300">
        <f>SUM(J192:U192)</f>
        <v>0</v>
      </c>
      <c r="W192" s="299"/>
      <c r="X192" s="282">
        <f t="shared" si="42"/>
        <v>2</v>
      </c>
    </row>
    <row r="193" spans="1:24" s="122" customFormat="1" hidden="1" x14ac:dyDescent="0.2">
      <c r="A193" s="113"/>
      <c r="B193" s="149"/>
      <c r="C193" s="149"/>
      <c r="D193" s="149"/>
      <c r="E193" s="149"/>
      <c r="F193" s="149"/>
      <c r="G193" s="149"/>
      <c r="H193" s="14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2">
        <v>3</v>
      </c>
    </row>
    <row r="194" spans="1:24" s="122" customFormat="1" ht="13.5" hidden="1" thickBot="1" x14ac:dyDescent="0.25">
      <c r="A194" s="113">
        <v>24</v>
      </c>
      <c r="B194" s="121">
        <v>1</v>
      </c>
      <c r="C194" s="318">
        <v>2</v>
      </c>
      <c r="D194" s="319">
        <v>4</v>
      </c>
      <c r="E194" s="319"/>
      <c r="F194" s="319"/>
      <c r="G194" s="320"/>
      <c r="H194" s="321" t="s">
        <v>301</v>
      </c>
      <c r="I194" s="346"/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  <c r="U194" s="346"/>
      <c r="V194" s="346"/>
      <c r="W194" s="346"/>
      <c r="X194" s="282">
        <f t="shared" si="42"/>
        <v>2</v>
      </c>
    </row>
    <row r="195" spans="1:24" s="122" customFormat="1" hidden="1" x14ac:dyDescent="0.2">
      <c r="A195" s="113"/>
      <c r="B195" s="149"/>
      <c r="C195" s="149"/>
      <c r="D195" s="149"/>
      <c r="E195" s="149"/>
      <c r="F195" s="149"/>
      <c r="G195" s="149"/>
      <c r="H195" s="14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2">
        <v>3</v>
      </c>
    </row>
    <row r="196" spans="1:24" s="122" customFormat="1" ht="21.75" x14ac:dyDescent="0.2">
      <c r="A196" s="113">
        <v>24</v>
      </c>
      <c r="B196" s="121">
        <v>2</v>
      </c>
      <c r="C196" s="292">
        <v>2</v>
      </c>
      <c r="D196" s="293">
        <v>4</v>
      </c>
      <c r="E196" s="293">
        <v>1</v>
      </c>
      <c r="F196" s="293"/>
      <c r="G196" s="324"/>
      <c r="H196" s="347" t="s">
        <v>302</v>
      </c>
      <c r="I196" s="348">
        <f t="shared" ref="I196:W196" si="59">I197+I200+I203+I204</f>
        <v>0</v>
      </c>
      <c r="J196" s="348">
        <f t="shared" si="59"/>
        <v>0</v>
      </c>
      <c r="K196" s="348">
        <f t="shared" si="59"/>
        <v>0</v>
      </c>
      <c r="L196" s="348">
        <f t="shared" si="59"/>
        <v>0</v>
      </c>
      <c r="M196" s="348">
        <f t="shared" si="59"/>
        <v>0</v>
      </c>
      <c r="N196" s="348">
        <f t="shared" si="59"/>
        <v>0</v>
      </c>
      <c r="O196" s="348">
        <f t="shared" si="59"/>
        <v>0</v>
      </c>
      <c r="P196" s="348">
        <f t="shared" si="59"/>
        <v>0</v>
      </c>
      <c r="Q196" s="348">
        <f t="shared" si="59"/>
        <v>0</v>
      </c>
      <c r="R196" s="348">
        <f t="shared" si="59"/>
        <v>0</v>
      </c>
      <c r="S196" s="348">
        <f t="shared" si="59"/>
        <v>0</v>
      </c>
      <c r="T196" s="348">
        <f t="shared" si="59"/>
        <v>0</v>
      </c>
      <c r="U196" s="348">
        <f t="shared" si="59"/>
        <v>0</v>
      </c>
      <c r="V196" s="348">
        <f t="shared" si="59"/>
        <v>0</v>
      </c>
      <c r="W196" s="348">
        <f t="shared" si="59"/>
        <v>0</v>
      </c>
      <c r="X196" s="282">
        <f t="shared" si="42"/>
        <v>2</v>
      </c>
    </row>
    <row r="197" spans="1:24" s="114" customFormat="1" hidden="1" x14ac:dyDescent="0.2">
      <c r="A197" s="113">
        <v>24</v>
      </c>
      <c r="B197" s="62">
        <v>3</v>
      </c>
      <c r="C197" s="292">
        <v>2</v>
      </c>
      <c r="D197" s="293">
        <v>4</v>
      </c>
      <c r="E197" s="293">
        <v>1</v>
      </c>
      <c r="F197" s="293">
        <v>2</v>
      </c>
      <c r="G197" s="294"/>
      <c r="H197" s="349" t="s">
        <v>303</v>
      </c>
      <c r="I197" s="348">
        <f t="shared" ref="I197:W197" si="60">I198+I199</f>
        <v>0</v>
      </c>
      <c r="J197" s="348">
        <f t="shared" si="60"/>
        <v>0</v>
      </c>
      <c r="K197" s="348">
        <f t="shared" si="60"/>
        <v>0</v>
      </c>
      <c r="L197" s="348">
        <f t="shared" si="60"/>
        <v>0</v>
      </c>
      <c r="M197" s="348">
        <f t="shared" si="60"/>
        <v>0</v>
      </c>
      <c r="N197" s="348">
        <f t="shared" si="60"/>
        <v>0</v>
      </c>
      <c r="O197" s="348">
        <f t="shared" si="60"/>
        <v>0</v>
      </c>
      <c r="P197" s="348">
        <f t="shared" si="60"/>
        <v>0</v>
      </c>
      <c r="Q197" s="348">
        <f t="shared" si="60"/>
        <v>0</v>
      </c>
      <c r="R197" s="348">
        <f t="shared" si="60"/>
        <v>0</v>
      </c>
      <c r="S197" s="348">
        <f t="shared" si="60"/>
        <v>0</v>
      </c>
      <c r="T197" s="348">
        <f t="shared" si="60"/>
        <v>0</v>
      </c>
      <c r="U197" s="348">
        <f t="shared" si="60"/>
        <v>0</v>
      </c>
      <c r="V197" s="348">
        <f t="shared" si="60"/>
        <v>0</v>
      </c>
      <c r="W197" s="348">
        <f t="shared" si="60"/>
        <v>0</v>
      </c>
      <c r="X197" s="282">
        <f t="shared" si="42"/>
        <v>2</v>
      </c>
    </row>
    <row r="198" spans="1:24" s="122" customFormat="1" hidden="1" x14ac:dyDescent="0.2">
      <c r="A198" s="113">
        <v>24</v>
      </c>
      <c r="B198" s="121">
        <v>4</v>
      </c>
      <c r="C198" s="126">
        <v>2</v>
      </c>
      <c r="D198" s="127">
        <v>4</v>
      </c>
      <c r="E198" s="127">
        <v>1</v>
      </c>
      <c r="F198" s="127">
        <v>2</v>
      </c>
      <c r="G198" s="128" t="s">
        <v>154</v>
      </c>
      <c r="H198" s="306" t="s">
        <v>304</v>
      </c>
      <c r="I198" s="299">
        <v>0</v>
      </c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300">
        <f>SUM(J198:U198)</f>
        <v>0</v>
      </c>
      <c r="W198" s="300">
        <f>I198-V198</f>
        <v>0</v>
      </c>
      <c r="X198" s="282">
        <f t="shared" si="42"/>
        <v>2</v>
      </c>
    </row>
    <row r="199" spans="1:24" s="122" customFormat="1" hidden="1" x14ac:dyDescent="0.2">
      <c r="A199" s="113">
        <v>24</v>
      </c>
      <c r="B199" s="121">
        <v>4</v>
      </c>
      <c r="C199" s="126">
        <v>2</v>
      </c>
      <c r="D199" s="127">
        <v>4</v>
      </c>
      <c r="E199" s="127">
        <v>1</v>
      </c>
      <c r="F199" s="127">
        <v>2</v>
      </c>
      <c r="G199" s="128" t="s">
        <v>158</v>
      </c>
      <c r="H199" s="306" t="s">
        <v>305</v>
      </c>
      <c r="I199" s="299">
        <v>0</v>
      </c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300">
        <f>SUM(J199:U199)</f>
        <v>0</v>
      </c>
      <c r="W199" s="300">
        <f>I199-V199</f>
        <v>0</v>
      </c>
      <c r="X199" s="282">
        <f t="shared" si="42"/>
        <v>2</v>
      </c>
    </row>
    <row r="200" spans="1:24" s="114" customFormat="1" hidden="1" x14ac:dyDescent="0.2">
      <c r="A200" s="113">
        <v>24</v>
      </c>
      <c r="B200" s="62">
        <v>3</v>
      </c>
      <c r="C200" s="292">
        <v>2</v>
      </c>
      <c r="D200" s="293">
        <v>4</v>
      </c>
      <c r="E200" s="293">
        <v>1</v>
      </c>
      <c r="F200" s="293">
        <v>4</v>
      </c>
      <c r="G200" s="294"/>
      <c r="H200" s="295" t="s">
        <v>306</v>
      </c>
      <c r="I200" s="348">
        <f t="shared" ref="I200:W200" si="61">I201+I202</f>
        <v>0</v>
      </c>
      <c r="J200" s="348">
        <f t="shared" si="61"/>
        <v>0</v>
      </c>
      <c r="K200" s="348">
        <f t="shared" si="61"/>
        <v>0</v>
      </c>
      <c r="L200" s="348">
        <f t="shared" si="61"/>
        <v>0</v>
      </c>
      <c r="M200" s="348">
        <f t="shared" si="61"/>
        <v>0</v>
      </c>
      <c r="N200" s="348">
        <f t="shared" si="61"/>
        <v>0</v>
      </c>
      <c r="O200" s="348">
        <f t="shared" si="61"/>
        <v>0</v>
      </c>
      <c r="P200" s="348">
        <f t="shared" si="61"/>
        <v>0</v>
      </c>
      <c r="Q200" s="348">
        <f t="shared" si="61"/>
        <v>0</v>
      </c>
      <c r="R200" s="348">
        <f t="shared" si="61"/>
        <v>0</v>
      </c>
      <c r="S200" s="348">
        <f t="shared" si="61"/>
        <v>0</v>
      </c>
      <c r="T200" s="348">
        <f t="shared" si="61"/>
        <v>0</v>
      </c>
      <c r="U200" s="348">
        <f t="shared" si="61"/>
        <v>0</v>
      </c>
      <c r="V200" s="348">
        <f t="shared" si="61"/>
        <v>0</v>
      </c>
      <c r="W200" s="348">
        <f t="shared" si="61"/>
        <v>0</v>
      </c>
      <c r="X200" s="282">
        <f t="shared" si="42"/>
        <v>2</v>
      </c>
    </row>
    <row r="201" spans="1:24" s="122" customFormat="1" hidden="1" x14ac:dyDescent="0.2">
      <c r="A201" s="113">
        <v>24</v>
      </c>
      <c r="B201" s="121">
        <v>4</v>
      </c>
      <c r="C201" s="126">
        <v>2</v>
      </c>
      <c r="D201" s="127">
        <v>4</v>
      </c>
      <c r="E201" s="127">
        <v>1</v>
      </c>
      <c r="F201" s="127">
        <v>4</v>
      </c>
      <c r="G201" s="128" t="s">
        <v>154</v>
      </c>
      <c r="H201" s="306" t="s">
        <v>307</v>
      </c>
      <c r="I201" s="299">
        <v>0</v>
      </c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300">
        <f>SUM(J201:U201)</f>
        <v>0</v>
      </c>
      <c r="W201" s="300">
        <f>I201-V201</f>
        <v>0</v>
      </c>
      <c r="X201" s="282">
        <f t="shared" si="42"/>
        <v>2</v>
      </c>
    </row>
    <row r="202" spans="1:24" s="122" customFormat="1" hidden="1" x14ac:dyDescent="0.2">
      <c r="A202" s="113">
        <v>24</v>
      </c>
      <c r="B202" s="121">
        <v>4</v>
      </c>
      <c r="C202" s="126">
        <v>2</v>
      </c>
      <c r="D202" s="127">
        <v>4</v>
      </c>
      <c r="E202" s="127">
        <v>1</v>
      </c>
      <c r="F202" s="127">
        <v>4</v>
      </c>
      <c r="G202" s="128" t="s">
        <v>158</v>
      </c>
      <c r="H202" s="306" t="s">
        <v>308</v>
      </c>
      <c r="I202" s="299">
        <v>0</v>
      </c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300">
        <f>SUM(J202:U202)</f>
        <v>0</v>
      </c>
      <c r="W202" s="300">
        <f>I202-V202</f>
        <v>0</v>
      </c>
      <c r="X202" s="282">
        <f t="shared" si="42"/>
        <v>2</v>
      </c>
    </row>
    <row r="203" spans="1:24" s="114" customFormat="1" hidden="1" x14ac:dyDescent="0.2">
      <c r="A203" s="113">
        <v>24</v>
      </c>
      <c r="B203" s="62">
        <v>3</v>
      </c>
      <c r="C203" s="130">
        <v>2</v>
      </c>
      <c r="D203" s="131">
        <v>4</v>
      </c>
      <c r="E203" s="131">
        <v>1</v>
      </c>
      <c r="F203" s="131">
        <v>5</v>
      </c>
      <c r="G203" s="132"/>
      <c r="H203" s="302" t="s">
        <v>309</v>
      </c>
      <c r="I203" s="299">
        <v>0</v>
      </c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300">
        <f>SUM(J203:U203)</f>
        <v>0</v>
      </c>
      <c r="W203" s="300">
        <f>I203-V203</f>
        <v>0</v>
      </c>
      <c r="X203" s="282">
        <f t="shared" si="42"/>
        <v>2</v>
      </c>
    </row>
    <row r="204" spans="1:24" s="114" customFormat="1" ht="21.75" hidden="1" x14ac:dyDescent="0.2">
      <c r="A204" s="113">
        <v>24</v>
      </c>
      <c r="B204" s="62">
        <v>3</v>
      </c>
      <c r="C204" s="292">
        <v>2</v>
      </c>
      <c r="D204" s="293">
        <v>4</v>
      </c>
      <c r="E204" s="293">
        <v>1</v>
      </c>
      <c r="F204" s="293">
        <v>6</v>
      </c>
      <c r="G204" s="294"/>
      <c r="H204" s="335" t="s">
        <v>310</v>
      </c>
      <c r="I204" s="348">
        <f t="shared" ref="I204:W204" si="62">I205+I206</f>
        <v>0</v>
      </c>
      <c r="J204" s="348">
        <f t="shared" si="62"/>
        <v>0</v>
      </c>
      <c r="K204" s="348">
        <f t="shared" si="62"/>
        <v>0</v>
      </c>
      <c r="L204" s="348">
        <f t="shared" si="62"/>
        <v>0</v>
      </c>
      <c r="M204" s="348">
        <f t="shared" si="62"/>
        <v>0</v>
      </c>
      <c r="N204" s="348">
        <f t="shared" si="62"/>
        <v>0</v>
      </c>
      <c r="O204" s="348">
        <f t="shared" si="62"/>
        <v>0</v>
      </c>
      <c r="P204" s="348">
        <f t="shared" si="62"/>
        <v>0</v>
      </c>
      <c r="Q204" s="348">
        <f t="shared" si="62"/>
        <v>0</v>
      </c>
      <c r="R204" s="348">
        <f t="shared" si="62"/>
        <v>0</v>
      </c>
      <c r="S204" s="348">
        <f t="shared" si="62"/>
        <v>0</v>
      </c>
      <c r="T204" s="348">
        <f t="shared" si="62"/>
        <v>0</v>
      </c>
      <c r="U204" s="348">
        <f t="shared" si="62"/>
        <v>0</v>
      </c>
      <c r="V204" s="348">
        <f t="shared" si="62"/>
        <v>0</v>
      </c>
      <c r="W204" s="348">
        <f t="shared" si="62"/>
        <v>0</v>
      </c>
      <c r="X204" s="282">
        <f t="shared" si="42"/>
        <v>2</v>
      </c>
    </row>
    <row r="205" spans="1:24" s="122" customFormat="1" hidden="1" x14ac:dyDescent="0.2">
      <c r="A205" s="113">
        <v>24</v>
      </c>
      <c r="B205" s="121">
        <v>4</v>
      </c>
      <c r="C205" s="126">
        <v>2</v>
      </c>
      <c r="D205" s="127">
        <v>4</v>
      </c>
      <c r="E205" s="127">
        <v>1</v>
      </c>
      <c r="F205" s="127">
        <v>6</v>
      </c>
      <c r="G205" s="128" t="s">
        <v>154</v>
      </c>
      <c r="H205" s="306" t="s">
        <v>311</v>
      </c>
      <c r="I205" s="299">
        <v>0</v>
      </c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300">
        <f>SUM(J205:U205)</f>
        <v>0</v>
      </c>
      <c r="W205" s="300">
        <f>I205-V205</f>
        <v>0</v>
      </c>
      <c r="X205" s="282">
        <f t="shared" si="42"/>
        <v>2</v>
      </c>
    </row>
    <row r="206" spans="1:24" s="122" customFormat="1" ht="22.5" hidden="1" x14ac:dyDescent="0.2">
      <c r="A206" s="113">
        <v>24</v>
      </c>
      <c r="B206" s="121">
        <v>4</v>
      </c>
      <c r="C206" s="126">
        <v>2</v>
      </c>
      <c r="D206" s="127">
        <v>4</v>
      </c>
      <c r="E206" s="127">
        <v>1</v>
      </c>
      <c r="F206" s="127">
        <v>6</v>
      </c>
      <c r="G206" s="128" t="s">
        <v>162</v>
      </c>
      <c r="H206" s="333" t="s">
        <v>312</v>
      </c>
      <c r="I206" s="299">
        <v>0</v>
      </c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300">
        <f>SUM(J206:U206)</f>
        <v>0</v>
      </c>
      <c r="W206" s="300">
        <f>I206-V206</f>
        <v>0</v>
      </c>
      <c r="X206" s="282">
        <f t="shared" si="42"/>
        <v>2</v>
      </c>
    </row>
    <row r="207" spans="1:24" s="122" customFormat="1" hidden="1" x14ac:dyDescent="0.2">
      <c r="A207" s="113"/>
      <c r="B207" s="149"/>
      <c r="C207" s="149"/>
      <c r="D207" s="149"/>
      <c r="E207" s="149"/>
      <c r="F207" s="149"/>
      <c r="G207" s="149"/>
      <c r="H207" s="14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2">
        <v>3</v>
      </c>
    </row>
    <row r="208" spans="1:24" s="122" customFormat="1" ht="13.5" hidden="1" thickBot="1" x14ac:dyDescent="0.25">
      <c r="A208" s="113">
        <v>26</v>
      </c>
      <c r="B208" s="121">
        <v>1</v>
      </c>
      <c r="C208" s="318">
        <v>2</v>
      </c>
      <c r="D208" s="319">
        <v>6</v>
      </c>
      <c r="E208" s="319"/>
      <c r="F208" s="319"/>
      <c r="G208" s="320"/>
      <c r="H208" s="321" t="s">
        <v>313</v>
      </c>
      <c r="I208" s="322">
        <f t="shared" ref="I208:W208" si="63">+I210+I217+I220+I225+I228</f>
        <v>385000</v>
      </c>
      <c r="J208" s="322">
        <f t="shared" si="63"/>
        <v>0</v>
      </c>
      <c r="K208" s="322">
        <f t="shared" si="63"/>
        <v>0</v>
      </c>
      <c r="L208" s="322">
        <f t="shared" si="63"/>
        <v>0</v>
      </c>
      <c r="M208" s="322">
        <f t="shared" si="63"/>
        <v>0</v>
      </c>
      <c r="N208" s="322">
        <f t="shared" si="63"/>
        <v>0</v>
      </c>
      <c r="O208" s="322">
        <f t="shared" si="63"/>
        <v>0</v>
      </c>
      <c r="P208" s="322">
        <f t="shared" si="63"/>
        <v>0</v>
      </c>
      <c r="Q208" s="322">
        <f t="shared" si="63"/>
        <v>0</v>
      </c>
      <c r="R208" s="322">
        <f t="shared" si="63"/>
        <v>0</v>
      </c>
      <c r="S208" s="322">
        <f t="shared" si="63"/>
        <v>0</v>
      </c>
      <c r="T208" s="322">
        <f t="shared" si="63"/>
        <v>0</v>
      </c>
      <c r="U208" s="322">
        <f t="shared" si="63"/>
        <v>0</v>
      </c>
      <c r="V208" s="322">
        <f t="shared" si="63"/>
        <v>0</v>
      </c>
      <c r="W208" s="322">
        <f t="shared" si="63"/>
        <v>385000</v>
      </c>
      <c r="X208" s="282">
        <f t="shared" si="42"/>
        <v>1</v>
      </c>
    </row>
    <row r="209" spans="1:24" s="122" customFormat="1" hidden="1" x14ac:dyDescent="0.2">
      <c r="A209" s="113"/>
      <c r="B209" s="149"/>
      <c r="C209" s="149"/>
      <c r="D209" s="149"/>
      <c r="E209" s="149"/>
      <c r="F209" s="149"/>
      <c r="G209" s="149"/>
      <c r="H209" s="149"/>
      <c r="I209" s="289"/>
      <c r="J209" s="289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2">
        <v>3</v>
      </c>
    </row>
    <row r="210" spans="1:24" s="122" customFormat="1" x14ac:dyDescent="0.2">
      <c r="A210" s="113">
        <v>26</v>
      </c>
      <c r="B210" s="121">
        <v>2</v>
      </c>
      <c r="C210" s="292">
        <v>2</v>
      </c>
      <c r="D210" s="293">
        <v>6</v>
      </c>
      <c r="E210" s="293">
        <v>1</v>
      </c>
      <c r="F210" s="293"/>
      <c r="G210" s="324"/>
      <c r="H210" s="335" t="s">
        <v>314</v>
      </c>
      <c r="I210" s="296">
        <f t="shared" ref="I210:W210" si="64">SUM(I211:I215)</f>
        <v>320000</v>
      </c>
      <c r="J210" s="296">
        <f t="shared" si="64"/>
        <v>0</v>
      </c>
      <c r="K210" s="296">
        <f t="shared" si="64"/>
        <v>0</v>
      </c>
      <c r="L210" s="296">
        <f t="shared" si="64"/>
        <v>0</v>
      </c>
      <c r="M210" s="296">
        <f t="shared" si="64"/>
        <v>0</v>
      </c>
      <c r="N210" s="296">
        <f t="shared" si="64"/>
        <v>0</v>
      </c>
      <c r="O210" s="296">
        <f t="shared" si="64"/>
        <v>0</v>
      </c>
      <c r="P210" s="296">
        <f t="shared" si="64"/>
        <v>0</v>
      </c>
      <c r="Q210" s="296">
        <f t="shared" si="64"/>
        <v>0</v>
      </c>
      <c r="R210" s="296">
        <f t="shared" si="64"/>
        <v>0</v>
      </c>
      <c r="S210" s="296">
        <f t="shared" si="64"/>
        <v>0</v>
      </c>
      <c r="T210" s="296">
        <f t="shared" si="64"/>
        <v>0</v>
      </c>
      <c r="U210" s="296">
        <f t="shared" si="64"/>
        <v>0</v>
      </c>
      <c r="V210" s="296">
        <f t="shared" si="64"/>
        <v>0</v>
      </c>
      <c r="W210" s="296">
        <f t="shared" si="64"/>
        <v>320000</v>
      </c>
      <c r="X210" s="282">
        <f t="shared" ref="X210:X237" si="65">IF(SUM(I210:W210)&gt;=1,1,2)</f>
        <v>1</v>
      </c>
    </row>
    <row r="211" spans="1:24" s="114" customFormat="1" hidden="1" x14ac:dyDescent="0.2">
      <c r="A211" s="113">
        <v>26</v>
      </c>
      <c r="B211" s="129">
        <v>3</v>
      </c>
      <c r="C211" s="130">
        <v>2</v>
      </c>
      <c r="D211" s="131">
        <v>6</v>
      </c>
      <c r="E211" s="131">
        <v>1</v>
      </c>
      <c r="F211" s="131">
        <v>1</v>
      </c>
      <c r="G211" s="132"/>
      <c r="H211" s="140" t="s">
        <v>315</v>
      </c>
      <c r="I211" s="299">
        <v>60000</v>
      </c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300">
        <f>SUM(J211:U211)</f>
        <v>0</v>
      </c>
      <c r="W211" s="300">
        <f>I211-V211</f>
        <v>60000</v>
      </c>
      <c r="X211" s="282">
        <f t="shared" si="65"/>
        <v>1</v>
      </c>
    </row>
    <row r="212" spans="1:24" s="114" customFormat="1" hidden="1" x14ac:dyDescent="0.2">
      <c r="A212" s="113">
        <v>26</v>
      </c>
      <c r="B212" s="62">
        <v>3</v>
      </c>
      <c r="C212" s="130">
        <v>2</v>
      </c>
      <c r="D212" s="131">
        <v>6</v>
      </c>
      <c r="E212" s="131">
        <v>1</v>
      </c>
      <c r="F212" s="131">
        <v>2</v>
      </c>
      <c r="G212" s="132"/>
      <c r="H212" s="350" t="s">
        <v>316</v>
      </c>
      <c r="I212" s="299"/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300">
        <f>SUM(J212:U212)</f>
        <v>0</v>
      </c>
      <c r="W212" s="300">
        <f>I212-V212</f>
        <v>0</v>
      </c>
      <c r="X212" s="282">
        <f t="shared" si="65"/>
        <v>2</v>
      </c>
    </row>
    <row r="213" spans="1:24" s="114" customFormat="1" hidden="1" x14ac:dyDescent="0.2">
      <c r="A213" s="113">
        <v>26</v>
      </c>
      <c r="B213" s="129">
        <v>3</v>
      </c>
      <c r="C213" s="130">
        <v>2</v>
      </c>
      <c r="D213" s="131">
        <v>6</v>
      </c>
      <c r="E213" s="131">
        <v>1</v>
      </c>
      <c r="F213" s="131">
        <v>3</v>
      </c>
      <c r="G213" s="132"/>
      <c r="H213" s="140" t="s">
        <v>317</v>
      </c>
      <c r="I213" s="299">
        <v>180000</v>
      </c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300">
        <f>SUM(J213:U213)</f>
        <v>0</v>
      </c>
      <c r="W213" s="300">
        <f>I213-V213</f>
        <v>180000</v>
      </c>
      <c r="X213" s="282">
        <f t="shared" si="65"/>
        <v>1</v>
      </c>
    </row>
    <row r="214" spans="1:24" s="114" customFormat="1" ht="16.5" hidden="1" customHeight="1" x14ac:dyDescent="0.2">
      <c r="A214" s="113">
        <v>26</v>
      </c>
      <c r="B214" s="129">
        <v>3</v>
      </c>
      <c r="C214" s="130">
        <v>2</v>
      </c>
      <c r="D214" s="131">
        <v>6</v>
      </c>
      <c r="E214" s="131">
        <v>1</v>
      </c>
      <c r="F214" s="131">
        <v>4</v>
      </c>
      <c r="G214" s="132"/>
      <c r="H214" s="140" t="s">
        <v>318</v>
      </c>
      <c r="I214" s="299">
        <v>60000</v>
      </c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300">
        <f>SUM(J214:U214)</f>
        <v>0</v>
      </c>
      <c r="W214" s="300">
        <f>I214-V214</f>
        <v>60000</v>
      </c>
      <c r="X214" s="282">
        <f t="shared" si="65"/>
        <v>1</v>
      </c>
    </row>
    <row r="215" spans="1:24" s="114" customFormat="1" ht="21.75" hidden="1" customHeight="1" x14ac:dyDescent="0.2">
      <c r="A215" s="113">
        <v>26</v>
      </c>
      <c r="B215" s="129">
        <v>3</v>
      </c>
      <c r="C215" s="130">
        <v>2</v>
      </c>
      <c r="D215" s="131">
        <v>6</v>
      </c>
      <c r="E215" s="131">
        <v>1</v>
      </c>
      <c r="F215" s="131">
        <v>9</v>
      </c>
      <c r="G215" s="132"/>
      <c r="H215" s="140" t="s">
        <v>319</v>
      </c>
      <c r="I215" s="299">
        <v>20000</v>
      </c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300">
        <f>SUM(J215:U215)</f>
        <v>0</v>
      </c>
      <c r="W215" s="300">
        <f>I215-V215</f>
        <v>20000</v>
      </c>
      <c r="X215" s="282">
        <f t="shared" si="65"/>
        <v>1</v>
      </c>
    </row>
    <row r="216" spans="1:24" s="122" customFormat="1" hidden="1" x14ac:dyDescent="0.2">
      <c r="A216" s="113"/>
      <c r="B216" s="149"/>
      <c r="C216" s="149"/>
      <c r="D216" s="149"/>
      <c r="E216" s="149"/>
      <c r="F216" s="149"/>
      <c r="G216" s="149"/>
      <c r="H216" s="14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2">
        <v>3</v>
      </c>
    </row>
    <row r="217" spans="1:24" s="122" customFormat="1" ht="21.75" x14ac:dyDescent="0.2">
      <c r="A217" s="113">
        <v>26</v>
      </c>
      <c r="B217" s="121">
        <v>2</v>
      </c>
      <c r="C217" s="292">
        <v>2</v>
      </c>
      <c r="D217" s="293">
        <v>6</v>
      </c>
      <c r="E217" s="293">
        <v>2</v>
      </c>
      <c r="F217" s="323"/>
      <c r="G217" s="324"/>
      <c r="H217" s="335" t="s">
        <v>320</v>
      </c>
      <c r="I217" s="296">
        <f t="shared" ref="I217:W217" si="66">I218</f>
        <v>0</v>
      </c>
      <c r="J217" s="296">
        <f t="shared" si="66"/>
        <v>0</v>
      </c>
      <c r="K217" s="296">
        <f t="shared" si="66"/>
        <v>0</v>
      </c>
      <c r="L217" s="296">
        <f t="shared" si="66"/>
        <v>0</v>
      </c>
      <c r="M217" s="296">
        <f t="shared" si="66"/>
        <v>0</v>
      </c>
      <c r="N217" s="296">
        <f t="shared" si="66"/>
        <v>0</v>
      </c>
      <c r="O217" s="296">
        <f t="shared" si="66"/>
        <v>0</v>
      </c>
      <c r="P217" s="296">
        <f t="shared" si="66"/>
        <v>0</v>
      </c>
      <c r="Q217" s="296">
        <f t="shared" si="66"/>
        <v>0</v>
      </c>
      <c r="R217" s="296">
        <f t="shared" si="66"/>
        <v>0</v>
      </c>
      <c r="S217" s="296">
        <f t="shared" si="66"/>
        <v>0</v>
      </c>
      <c r="T217" s="296">
        <f t="shared" si="66"/>
        <v>0</v>
      </c>
      <c r="U217" s="296">
        <f t="shared" si="66"/>
        <v>0</v>
      </c>
      <c r="V217" s="296">
        <f t="shared" si="66"/>
        <v>0</v>
      </c>
      <c r="W217" s="296">
        <f t="shared" si="66"/>
        <v>0</v>
      </c>
      <c r="X217" s="282">
        <f t="shared" si="65"/>
        <v>2</v>
      </c>
    </row>
    <row r="218" spans="1:24" s="114" customFormat="1" hidden="1" x14ac:dyDescent="0.2">
      <c r="A218" s="113">
        <v>26</v>
      </c>
      <c r="B218" s="62">
        <v>3</v>
      </c>
      <c r="C218" s="130">
        <v>2</v>
      </c>
      <c r="D218" s="131">
        <v>6</v>
      </c>
      <c r="E218" s="131">
        <v>2</v>
      </c>
      <c r="F218" s="131">
        <v>3</v>
      </c>
      <c r="G218" s="132"/>
      <c r="H218" s="350" t="s">
        <v>321</v>
      </c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300">
        <f>SUM(J218:U218)</f>
        <v>0</v>
      </c>
      <c r="W218" s="300">
        <f>I218-V218</f>
        <v>0</v>
      </c>
      <c r="X218" s="282">
        <f t="shared" si="65"/>
        <v>2</v>
      </c>
    </row>
    <row r="219" spans="1:24" s="122" customFormat="1" hidden="1" x14ac:dyDescent="0.2">
      <c r="A219" s="113"/>
      <c r="B219" s="149"/>
      <c r="C219" s="149"/>
      <c r="D219" s="149"/>
      <c r="E219" s="149"/>
      <c r="F219" s="149"/>
      <c r="G219" s="149"/>
      <c r="H219" s="149"/>
      <c r="I219" s="289"/>
      <c r="J219" s="289"/>
      <c r="K219" s="289"/>
      <c r="L219" s="289"/>
      <c r="M219" s="289"/>
      <c r="N219" s="289"/>
      <c r="O219" s="289"/>
      <c r="P219" s="289"/>
      <c r="Q219" s="289"/>
      <c r="R219" s="289"/>
      <c r="S219" s="289"/>
      <c r="T219" s="289"/>
      <c r="U219" s="289"/>
      <c r="V219" s="289"/>
      <c r="W219" s="289"/>
      <c r="X219" s="282">
        <v>3</v>
      </c>
    </row>
    <row r="220" spans="1:24" s="122" customFormat="1" ht="21.75" x14ac:dyDescent="0.2">
      <c r="A220" s="113">
        <v>26</v>
      </c>
      <c r="B220" s="121">
        <v>2</v>
      </c>
      <c r="C220" s="292">
        <v>2</v>
      </c>
      <c r="D220" s="293">
        <v>6</v>
      </c>
      <c r="E220" s="293">
        <v>5</v>
      </c>
      <c r="F220" s="323"/>
      <c r="G220" s="324"/>
      <c r="H220" s="335" t="s">
        <v>322</v>
      </c>
      <c r="I220" s="296">
        <f t="shared" ref="I220:W220" si="67">SUM(I221:I223)</f>
        <v>65000</v>
      </c>
      <c r="J220" s="296">
        <f t="shared" si="67"/>
        <v>0</v>
      </c>
      <c r="K220" s="296">
        <f t="shared" si="67"/>
        <v>0</v>
      </c>
      <c r="L220" s="296">
        <f t="shared" si="67"/>
        <v>0</v>
      </c>
      <c r="M220" s="296">
        <f t="shared" si="67"/>
        <v>0</v>
      </c>
      <c r="N220" s="296">
        <f t="shared" si="67"/>
        <v>0</v>
      </c>
      <c r="O220" s="296">
        <f t="shared" si="67"/>
        <v>0</v>
      </c>
      <c r="P220" s="296">
        <f t="shared" si="67"/>
        <v>0</v>
      </c>
      <c r="Q220" s="296">
        <f t="shared" si="67"/>
        <v>0</v>
      </c>
      <c r="R220" s="296">
        <f t="shared" si="67"/>
        <v>0</v>
      </c>
      <c r="S220" s="296">
        <f t="shared" si="67"/>
        <v>0</v>
      </c>
      <c r="T220" s="296">
        <f t="shared" si="67"/>
        <v>0</v>
      </c>
      <c r="U220" s="296">
        <f t="shared" si="67"/>
        <v>0</v>
      </c>
      <c r="V220" s="296">
        <f t="shared" si="67"/>
        <v>0</v>
      </c>
      <c r="W220" s="296">
        <f t="shared" si="67"/>
        <v>65000</v>
      </c>
      <c r="X220" s="282">
        <f t="shared" si="65"/>
        <v>1</v>
      </c>
    </row>
    <row r="221" spans="1:24" s="122" customFormat="1" ht="21.75" hidden="1" x14ac:dyDescent="0.2">
      <c r="A221" s="113">
        <v>26</v>
      </c>
      <c r="B221" s="121">
        <v>3</v>
      </c>
      <c r="C221" s="292">
        <v>2</v>
      </c>
      <c r="D221" s="293">
        <v>6</v>
      </c>
      <c r="E221" s="293">
        <v>5</v>
      </c>
      <c r="F221" s="323">
        <v>4</v>
      </c>
      <c r="G221" s="324"/>
      <c r="H221" s="335" t="s">
        <v>323</v>
      </c>
      <c r="I221" s="308">
        <v>65000</v>
      </c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296">
        <f>SUM(J221:U221)</f>
        <v>0</v>
      </c>
      <c r="W221" s="296">
        <f>I221-V221</f>
        <v>65000</v>
      </c>
      <c r="X221" s="282">
        <f t="shared" si="65"/>
        <v>1</v>
      </c>
    </row>
    <row r="222" spans="1:24" s="122" customFormat="1" hidden="1" x14ac:dyDescent="0.2">
      <c r="A222" s="113">
        <v>26</v>
      </c>
      <c r="B222" s="121">
        <v>4</v>
      </c>
      <c r="C222" s="126">
        <v>2</v>
      </c>
      <c r="D222" s="127">
        <v>6</v>
      </c>
      <c r="E222" s="127">
        <v>5</v>
      </c>
      <c r="F222" s="127">
        <v>6</v>
      </c>
      <c r="G222" s="128" t="s">
        <v>154</v>
      </c>
      <c r="H222" s="333" t="s">
        <v>324</v>
      </c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300">
        <f>SUM(J222:U222)</f>
        <v>0</v>
      </c>
      <c r="W222" s="300">
        <f>I222-V222</f>
        <v>0</v>
      </c>
      <c r="X222" s="282">
        <f t="shared" si="65"/>
        <v>2</v>
      </c>
    </row>
    <row r="223" spans="1:24" s="122" customFormat="1" hidden="1" x14ac:dyDescent="0.2">
      <c r="A223" s="113">
        <v>26</v>
      </c>
      <c r="B223" s="121">
        <v>4</v>
      </c>
      <c r="C223" s="126">
        <v>2</v>
      </c>
      <c r="D223" s="127">
        <v>6</v>
      </c>
      <c r="E223" s="127">
        <v>5</v>
      </c>
      <c r="F223" s="127">
        <v>8</v>
      </c>
      <c r="G223" s="128" t="s">
        <v>154</v>
      </c>
      <c r="H223" s="333" t="s">
        <v>325</v>
      </c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300">
        <f>SUM(J223:U223)</f>
        <v>0</v>
      </c>
      <c r="W223" s="300">
        <f>I223-V223</f>
        <v>0</v>
      </c>
      <c r="X223" s="282">
        <f t="shared" si="65"/>
        <v>2</v>
      </c>
    </row>
    <row r="224" spans="1:24" s="122" customFormat="1" hidden="1" x14ac:dyDescent="0.2">
      <c r="A224" s="113"/>
      <c r="B224" s="149"/>
      <c r="C224" s="149"/>
      <c r="D224" s="149"/>
      <c r="E224" s="149"/>
      <c r="F224" s="149"/>
      <c r="G224" s="149"/>
      <c r="H224" s="149"/>
      <c r="I224" s="289"/>
      <c r="J224" s="289"/>
      <c r="K224" s="289"/>
      <c r="L224" s="289"/>
      <c r="M224" s="289"/>
      <c r="N224" s="289"/>
      <c r="O224" s="289"/>
      <c r="P224" s="289"/>
      <c r="Q224" s="289"/>
      <c r="R224" s="289"/>
      <c r="S224" s="289"/>
      <c r="T224" s="289"/>
      <c r="U224" s="289"/>
      <c r="V224" s="289"/>
      <c r="W224" s="289"/>
      <c r="X224" s="282">
        <v>3</v>
      </c>
    </row>
    <row r="225" spans="1:24" s="122" customFormat="1" x14ac:dyDescent="0.2">
      <c r="A225" s="113">
        <v>26</v>
      </c>
      <c r="B225" s="121">
        <v>2</v>
      </c>
      <c r="C225" s="292">
        <v>2</v>
      </c>
      <c r="D225" s="293">
        <v>6</v>
      </c>
      <c r="E225" s="293">
        <v>6</v>
      </c>
      <c r="F225" s="323"/>
      <c r="G225" s="324"/>
      <c r="H225" s="335"/>
      <c r="I225" s="296">
        <f t="shared" ref="I225:W225" si="68">I226</f>
        <v>0</v>
      </c>
      <c r="J225" s="296">
        <f t="shared" si="68"/>
        <v>0</v>
      </c>
      <c r="K225" s="296">
        <f t="shared" si="68"/>
        <v>0</v>
      </c>
      <c r="L225" s="296">
        <f t="shared" si="68"/>
        <v>0</v>
      </c>
      <c r="M225" s="296">
        <f t="shared" si="68"/>
        <v>0</v>
      </c>
      <c r="N225" s="296">
        <f t="shared" si="68"/>
        <v>0</v>
      </c>
      <c r="O225" s="296">
        <f t="shared" si="68"/>
        <v>0</v>
      </c>
      <c r="P225" s="296">
        <f t="shared" si="68"/>
        <v>0</v>
      </c>
      <c r="Q225" s="296">
        <f t="shared" si="68"/>
        <v>0</v>
      </c>
      <c r="R225" s="296">
        <f t="shared" si="68"/>
        <v>0</v>
      </c>
      <c r="S225" s="296">
        <f t="shared" si="68"/>
        <v>0</v>
      </c>
      <c r="T225" s="296">
        <f t="shared" si="68"/>
        <v>0</v>
      </c>
      <c r="U225" s="296">
        <f t="shared" si="68"/>
        <v>0</v>
      </c>
      <c r="V225" s="296">
        <f t="shared" si="68"/>
        <v>0</v>
      </c>
      <c r="W225" s="296">
        <f t="shared" si="68"/>
        <v>0</v>
      </c>
      <c r="X225" s="282">
        <f t="shared" si="65"/>
        <v>2</v>
      </c>
    </row>
    <row r="226" spans="1:24" s="122" customFormat="1" hidden="1" x14ac:dyDescent="0.2">
      <c r="A226" s="113">
        <v>26</v>
      </c>
      <c r="B226" s="121">
        <v>4</v>
      </c>
      <c r="C226" s="126">
        <v>2</v>
      </c>
      <c r="D226" s="127">
        <v>6</v>
      </c>
      <c r="E226" s="127">
        <v>6</v>
      </c>
      <c r="F226" s="127">
        <v>2</v>
      </c>
      <c r="G226" s="128" t="s">
        <v>154</v>
      </c>
      <c r="H226" s="333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300">
        <f>SUM(J226:U226)</f>
        <v>0</v>
      </c>
      <c r="W226" s="300">
        <f>I226-V226</f>
        <v>0</v>
      </c>
      <c r="X226" s="282">
        <f t="shared" si="65"/>
        <v>2</v>
      </c>
    </row>
    <row r="227" spans="1:24" s="122" customFormat="1" hidden="1" x14ac:dyDescent="0.2">
      <c r="A227" s="113"/>
      <c r="B227" s="149"/>
      <c r="C227" s="149"/>
      <c r="D227" s="149"/>
      <c r="E227" s="149"/>
      <c r="F227" s="149"/>
      <c r="G227" s="149"/>
      <c r="H227" s="149"/>
      <c r="I227" s="289"/>
      <c r="J227" s="289"/>
      <c r="K227" s="289"/>
      <c r="L227" s="289"/>
      <c r="M227" s="289"/>
      <c r="N227" s="289"/>
      <c r="O227" s="289"/>
      <c r="P227" s="289"/>
      <c r="Q227" s="289"/>
      <c r="R227" s="289"/>
      <c r="S227" s="289"/>
      <c r="T227" s="289"/>
      <c r="U227" s="289"/>
      <c r="V227" s="289"/>
      <c r="W227" s="289"/>
      <c r="X227" s="282">
        <v>3</v>
      </c>
    </row>
    <row r="228" spans="1:24" s="122" customFormat="1" x14ac:dyDescent="0.2">
      <c r="A228" s="113">
        <v>26</v>
      </c>
      <c r="B228" s="121">
        <v>2</v>
      </c>
      <c r="C228" s="292">
        <v>2</v>
      </c>
      <c r="D228" s="293">
        <v>6</v>
      </c>
      <c r="E228" s="293">
        <v>8</v>
      </c>
      <c r="F228" s="323"/>
      <c r="G228" s="324"/>
      <c r="H228" s="335" t="s">
        <v>326</v>
      </c>
      <c r="I228" s="296">
        <f t="shared" ref="I228:W228" si="69">I229+I230+I233+I234</f>
        <v>0</v>
      </c>
      <c r="J228" s="296">
        <f t="shared" si="69"/>
        <v>0</v>
      </c>
      <c r="K228" s="296">
        <f t="shared" si="69"/>
        <v>0</v>
      </c>
      <c r="L228" s="296">
        <f t="shared" si="69"/>
        <v>0</v>
      </c>
      <c r="M228" s="296">
        <f t="shared" si="69"/>
        <v>0</v>
      </c>
      <c r="N228" s="296">
        <f t="shared" si="69"/>
        <v>0</v>
      </c>
      <c r="O228" s="296">
        <f t="shared" si="69"/>
        <v>0</v>
      </c>
      <c r="P228" s="296">
        <f t="shared" si="69"/>
        <v>0</v>
      </c>
      <c r="Q228" s="296">
        <f t="shared" si="69"/>
        <v>0</v>
      </c>
      <c r="R228" s="296">
        <f t="shared" si="69"/>
        <v>0</v>
      </c>
      <c r="S228" s="296">
        <f t="shared" si="69"/>
        <v>0</v>
      </c>
      <c r="T228" s="296">
        <f t="shared" si="69"/>
        <v>0</v>
      </c>
      <c r="U228" s="296">
        <f t="shared" si="69"/>
        <v>0</v>
      </c>
      <c r="V228" s="296">
        <f t="shared" si="69"/>
        <v>0</v>
      </c>
      <c r="W228" s="296">
        <f t="shared" si="69"/>
        <v>0</v>
      </c>
      <c r="X228" s="282">
        <f t="shared" si="65"/>
        <v>2</v>
      </c>
    </row>
    <row r="229" spans="1:24" s="114" customFormat="1" ht="28.5" hidden="1" customHeight="1" x14ac:dyDescent="0.2">
      <c r="A229" s="113">
        <v>26</v>
      </c>
      <c r="B229" s="62">
        <v>3</v>
      </c>
      <c r="C229" s="292">
        <v>2</v>
      </c>
      <c r="D229" s="293">
        <v>6</v>
      </c>
      <c r="E229" s="293">
        <v>8</v>
      </c>
      <c r="F229" s="323">
        <v>1</v>
      </c>
      <c r="G229" s="324"/>
      <c r="H229" s="335" t="s">
        <v>327</v>
      </c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296">
        <f>SUM(J229:U229)</f>
        <v>0</v>
      </c>
      <c r="W229" s="296">
        <f>BR229+Z229</f>
        <v>0</v>
      </c>
      <c r="X229" s="282">
        <f t="shared" si="65"/>
        <v>2</v>
      </c>
    </row>
    <row r="230" spans="1:24" s="114" customFormat="1" hidden="1" x14ac:dyDescent="0.2">
      <c r="A230" s="113">
        <v>26</v>
      </c>
      <c r="B230" s="62">
        <v>3</v>
      </c>
      <c r="C230" s="292">
        <v>2</v>
      </c>
      <c r="D230" s="293">
        <v>6</v>
      </c>
      <c r="E230" s="293">
        <v>8</v>
      </c>
      <c r="F230" s="323">
        <v>3</v>
      </c>
      <c r="G230" s="324"/>
      <c r="H230" s="335" t="s">
        <v>328</v>
      </c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296">
        <f>SUM(V231:V232)</f>
        <v>0</v>
      </c>
      <c r="W230" s="296">
        <f>SUM(W231:W232)</f>
        <v>0</v>
      </c>
      <c r="X230" s="282">
        <f t="shared" si="65"/>
        <v>2</v>
      </c>
    </row>
    <row r="231" spans="1:24" s="122" customFormat="1" hidden="1" x14ac:dyDescent="0.2">
      <c r="A231" s="113">
        <v>26</v>
      </c>
      <c r="B231" s="121">
        <v>4</v>
      </c>
      <c r="C231" s="126">
        <v>2</v>
      </c>
      <c r="D231" s="127">
        <v>6</v>
      </c>
      <c r="E231" s="127">
        <v>8</v>
      </c>
      <c r="F231" s="127">
        <v>3</v>
      </c>
      <c r="G231" s="128" t="s">
        <v>154</v>
      </c>
      <c r="H231" s="333" t="s">
        <v>329</v>
      </c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300">
        <f>SUM(J231:U231)</f>
        <v>0</v>
      </c>
      <c r="W231" s="300">
        <f>I231-V231</f>
        <v>0</v>
      </c>
      <c r="X231" s="282">
        <f t="shared" si="65"/>
        <v>2</v>
      </c>
    </row>
    <row r="232" spans="1:24" s="122" customFormat="1" hidden="1" x14ac:dyDescent="0.2">
      <c r="A232" s="113">
        <v>26</v>
      </c>
      <c r="B232" s="121">
        <v>4</v>
      </c>
      <c r="C232" s="126">
        <v>2</v>
      </c>
      <c r="D232" s="127">
        <v>6</v>
      </c>
      <c r="E232" s="127">
        <v>8</v>
      </c>
      <c r="F232" s="127">
        <v>3</v>
      </c>
      <c r="G232" s="128" t="s">
        <v>158</v>
      </c>
      <c r="H232" s="333" t="s">
        <v>330</v>
      </c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300">
        <f>SUM(J232:U232)</f>
        <v>0</v>
      </c>
      <c r="W232" s="300">
        <f>I232-V232</f>
        <v>0</v>
      </c>
      <c r="X232" s="282">
        <f t="shared" si="65"/>
        <v>2</v>
      </c>
    </row>
    <row r="233" spans="1:24" s="114" customFormat="1" hidden="1" x14ac:dyDescent="0.2">
      <c r="A233" s="113">
        <v>26</v>
      </c>
      <c r="B233" s="62">
        <v>3</v>
      </c>
      <c r="C233" s="130">
        <v>2</v>
      </c>
      <c r="D233" s="131">
        <v>6</v>
      </c>
      <c r="E233" s="131">
        <v>8</v>
      </c>
      <c r="F233" s="131">
        <v>5</v>
      </c>
      <c r="G233" s="132"/>
      <c r="H233" s="350" t="s">
        <v>331</v>
      </c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300">
        <f>SUM(J233:U233)</f>
        <v>0</v>
      </c>
      <c r="W233" s="300">
        <f>I233-V233</f>
        <v>0</v>
      </c>
      <c r="X233" s="282">
        <f t="shared" si="65"/>
        <v>2</v>
      </c>
    </row>
    <row r="234" spans="1:24" s="114" customFormat="1" hidden="1" x14ac:dyDescent="0.2">
      <c r="A234" s="291">
        <v>26</v>
      </c>
      <c r="B234" s="62">
        <v>3</v>
      </c>
      <c r="C234" s="292">
        <v>2</v>
      </c>
      <c r="D234" s="293">
        <v>6</v>
      </c>
      <c r="E234" s="293">
        <v>8</v>
      </c>
      <c r="F234" s="293">
        <v>8</v>
      </c>
      <c r="G234" s="351"/>
      <c r="H234" s="335" t="s">
        <v>332</v>
      </c>
      <c r="I234" s="296">
        <f t="shared" ref="I234:W234" si="70">I235</f>
        <v>0</v>
      </c>
      <c r="J234" s="296">
        <f t="shared" si="70"/>
        <v>0</v>
      </c>
      <c r="K234" s="296">
        <f t="shared" si="70"/>
        <v>0</v>
      </c>
      <c r="L234" s="296">
        <f t="shared" si="70"/>
        <v>0</v>
      </c>
      <c r="M234" s="296">
        <f t="shared" si="70"/>
        <v>0</v>
      </c>
      <c r="N234" s="296">
        <f t="shared" si="70"/>
        <v>0</v>
      </c>
      <c r="O234" s="296">
        <f t="shared" si="70"/>
        <v>0</v>
      </c>
      <c r="P234" s="296">
        <f t="shared" si="70"/>
        <v>0</v>
      </c>
      <c r="Q234" s="296">
        <f t="shared" si="70"/>
        <v>0</v>
      </c>
      <c r="R234" s="296">
        <f t="shared" si="70"/>
        <v>0</v>
      </c>
      <c r="S234" s="296">
        <f t="shared" si="70"/>
        <v>0</v>
      </c>
      <c r="T234" s="296">
        <f t="shared" si="70"/>
        <v>0</v>
      </c>
      <c r="U234" s="296">
        <f t="shared" si="70"/>
        <v>0</v>
      </c>
      <c r="V234" s="296">
        <f t="shared" si="70"/>
        <v>0</v>
      </c>
      <c r="W234" s="296">
        <f t="shared" si="70"/>
        <v>0</v>
      </c>
      <c r="X234" s="282">
        <f t="shared" si="65"/>
        <v>2</v>
      </c>
    </row>
    <row r="235" spans="1:24" s="122" customFormat="1" hidden="1" x14ac:dyDescent="0.2">
      <c r="A235" s="113">
        <v>26</v>
      </c>
      <c r="B235" s="121">
        <v>4</v>
      </c>
      <c r="C235" s="126">
        <v>2</v>
      </c>
      <c r="D235" s="127">
        <v>6</v>
      </c>
      <c r="E235" s="127">
        <v>8</v>
      </c>
      <c r="F235" s="127">
        <v>8</v>
      </c>
      <c r="G235" s="128" t="s">
        <v>154</v>
      </c>
      <c r="H235" s="333" t="s">
        <v>333</v>
      </c>
      <c r="I235" s="299">
        <v>0</v>
      </c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300">
        <f>SUM(J235:U235)</f>
        <v>0</v>
      </c>
      <c r="W235" s="300">
        <f>I235-V235</f>
        <v>0</v>
      </c>
      <c r="X235" s="282">
        <f t="shared" si="65"/>
        <v>2</v>
      </c>
    </row>
    <row r="236" spans="1:24" s="122" customFormat="1" hidden="1" x14ac:dyDescent="0.2">
      <c r="A236" s="113">
        <v>0</v>
      </c>
      <c r="B236" s="121">
        <v>0</v>
      </c>
      <c r="C236" s="144"/>
      <c r="D236" s="144"/>
      <c r="E236" s="144"/>
      <c r="F236" s="144"/>
      <c r="G236" s="144"/>
      <c r="H236" s="144"/>
      <c r="I236" s="352"/>
      <c r="J236" s="352"/>
      <c r="K236" s="352"/>
      <c r="L236" s="352"/>
      <c r="M236" s="352"/>
      <c r="N236" s="352"/>
      <c r="O236" s="352"/>
      <c r="P236" s="352"/>
      <c r="Q236" s="352"/>
      <c r="R236" s="352"/>
      <c r="S236" s="352"/>
      <c r="T236" s="352"/>
      <c r="U236" s="352"/>
      <c r="V236" s="352"/>
      <c r="W236" s="352"/>
      <c r="X236" s="282">
        <f t="shared" si="65"/>
        <v>2</v>
      </c>
    </row>
    <row r="237" spans="1:24" s="122" customFormat="1" ht="13.5" hidden="1" thickBot="1" x14ac:dyDescent="0.25">
      <c r="A237" s="113"/>
      <c r="B237" s="121">
        <v>5</v>
      </c>
      <c r="C237" s="386"/>
      <c r="D237" s="387"/>
      <c r="E237" s="387"/>
      <c r="F237" s="387"/>
      <c r="G237" s="388"/>
      <c r="H237" s="353" t="s">
        <v>334</v>
      </c>
      <c r="I237" s="354">
        <f t="shared" ref="I237:W237" si="71">I17+I62+I134+I194+I208</f>
        <v>64824675.019999996</v>
      </c>
      <c r="J237" s="354">
        <f t="shared" si="71"/>
        <v>2954957.8800000004</v>
      </c>
      <c r="K237" s="354">
        <f t="shared" si="71"/>
        <v>0</v>
      </c>
      <c r="L237" s="354">
        <f t="shared" si="71"/>
        <v>0</v>
      </c>
      <c r="M237" s="354">
        <f t="shared" si="71"/>
        <v>0</v>
      </c>
      <c r="N237" s="354">
        <f t="shared" si="71"/>
        <v>0</v>
      </c>
      <c r="O237" s="354">
        <f t="shared" si="71"/>
        <v>0</v>
      </c>
      <c r="P237" s="354">
        <f t="shared" si="71"/>
        <v>0</v>
      </c>
      <c r="Q237" s="354">
        <f t="shared" si="71"/>
        <v>0</v>
      </c>
      <c r="R237" s="354">
        <f t="shared" si="71"/>
        <v>0</v>
      </c>
      <c r="S237" s="354">
        <f t="shared" si="71"/>
        <v>0</v>
      </c>
      <c r="T237" s="354">
        <f t="shared" si="71"/>
        <v>0</v>
      </c>
      <c r="U237" s="354">
        <f t="shared" si="71"/>
        <v>0</v>
      </c>
      <c r="V237" s="354">
        <f t="shared" si="71"/>
        <v>2954957.8800000004</v>
      </c>
      <c r="W237" s="354">
        <f t="shared" si="71"/>
        <v>61869717.139999993</v>
      </c>
      <c r="X237" s="282">
        <f t="shared" si="65"/>
        <v>1</v>
      </c>
    </row>
    <row r="238" spans="1:24" s="122" customFormat="1" hidden="1" x14ac:dyDescent="0.2">
      <c r="A238" s="113"/>
      <c r="B238" s="121"/>
      <c r="I238" s="355"/>
      <c r="J238" s="355"/>
      <c r="K238" s="355"/>
      <c r="L238" s="355"/>
      <c r="M238" s="355"/>
      <c r="N238" s="355"/>
      <c r="O238" s="355"/>
      <c r="P238" s="355"/>
      <c r="Q238" s="355"/>
      <c r="R238" s="355"/>
      <c r="S238" s="355"/>
      <c r="T238" s="355"/>
      <c r="U238" s="355"/>
      <c r="V238" s="355"/>
      <c r="W238" s="355"/>
      <c r="X238" s="356"/>
    </row>
    <row r="239" spans="1:24" s="357" customFormat="1" hidden="1" x14ac:dyDescent="0.2">
      <c r="B239" s="357">
        <v>5</v>
      </c>
      <c r="H239" s="357" t="s">
        <v>334</v>
      </c>
      <c r="I239" s="358">
        <v>64824675.019999996</v>
      </c>
      <c r="J239" s="358">
        <v>2954957.88</v>
      </c>
      <c r="K239" s="358"/>
      <c r="L239" s="358"/>
      <c r="M239" s="358"/>
      <c r="N239" s="358"/>
      <c r="O239" s="358"/>
      <c r="P239" s="358"/>
      <c r="Q239" s="358"/>
      <c r="R239" s="358"/>
      <c r="S239" s="358"/>
      <c r="T239" s="358"/>
      <c r="U239" s="358"/>
      <c r="V239" s="359">
        <f>SUM(J239:U239)</f>
        <v>2954957.88</v>
      </c>
      <c r="W239" s="358"/>
      <c r="X239" s="360"/>
    </row>
    <row r="240" spans="1:24" s="122" customFormat="1" x14ac:dyDescent="0.2">
      <c r="A240" s="113"/>
      <c r="B240" s="121"/>
      <c r="G240" s="148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356"/>
    </row>
    <row r="241" spans="1:24" s="122" customFormat="1" x14ac:dyDescent="0.2">
      <c r="A241" s="113"/>
      <c r="B241" s="121"/>
      <c r="G241" s="148"/>
      <c r="I241" s="361">
        <f t="shared" ref="I241:V241" si="72">I237-I239</f>
        <v>0</v>
      </c>
      <c r="J241" s="361">
        <f t="shared" si="72"/>
        <v>0</v>
      </c>
      <c r="K241" s="361">
        <f t="shared" si="72"/>
        <v>0</v>
      </c>
      <c r="L241" s="361">
        <f t="shared" si="72"/>
        <v>0</v>
      </c>
      <c r="M241" s="361">
        <f t="shared" si="72"/>
        <v>0</v>
      </c>
      <c r="N241" s="361">
        <f t="shared" si="72"/>
        <v>0</v>
      </c>
      <c r="O241" s="361">
        <f t="shared" si="72"/>
        <v>0</v>
      </c>
      <c r="P241" s="361">
        <f t="shared" si="72"/>
        <v>0</v>
      </c>
      <c r="Q241" s="361">
        <f t="shared" si="72"/>
        <v>0</v>
      </c>
      <c r="R241" s="361">
        <f t="shared" si="72"/>
        <v>0</v>
      </c>
      <c r="S241" s="361">
        <f t="shared" si="72"/>
        <v>0</v>
      </c>
      <c r="T241" s="361">
        <f t="shared" si="72"/>
        <v>0</v>
      </c>
      <c r="U241" s="361">
        <f t="shared" si="72"/>
        <v>0</v>
      </c>
      <c r="V241" s="361">
        <f t="shared" si="72"/>
        <v>0</v>
      </c>
      <c r="W241" s="355"/>
      <c r="X241" s="356"/>
    </row>
    <row r="242" spans="1:24" s="149" customFormat="1" ht="11.25" x14ac:dyDescent="0.2">
      <c r="A242" s="150"/>
      <c r="B242" s="151"/>
      <c r="G242" s="152"/>
      <c r="P242" s="153"/>
      <c r="Q242" s="153"/>
      <c r="X242" s="362"/>
    </row>
    <row r="243" spans="1:24" s="149" customFormat="1" ht="11.25" x14ac:dyDescent="0.2">
      <c r="A243" s="150"/>
      <c r="B243" s="151"/>
      <c r="G243" s="63"/>
      <c r="M243" s="153"/>
      <c r="X243" s="362"/>
    </row>
    <row r="244" spans="1:24" s="149" customFormat="1" ht="11.25" x14ac:dyDescent="0.2">
      <c r="A244" s="150"/>
      <c r="B244" s="151"/>
      <c r="T244" s="153"/>
      <c r="W244" s="220"/>
      <c r="X244" s="363"/>
    </row>
    <row r="245" spans="1:24" s="149" customFormat="1" ht="11.25" x14ac:dyDescent="0.2">
      <c r="A245" s="150"/>
      <c r="B245" s="151"/>
      <c r="W245" s="220"/>
      <c r="X245" s="363"/>
    </row>
    <row r="246" spans="1:24" s="149" customFormat="1" ht="11.25" x14ac:dyDescent="0.2">
      <c r="A246" s="150"/>
      <c r="B246" s="151"/>
      <c r="G246" s="154"/>
      <c r="W246" s="220"/>
      <c r="X246" s="363"/>
    </row>
    <row r="247" spans="1:24" s="149" customFormat="1" ht="11.25" x14ac:dyDescent="0.2">
      <c r="A247" s="150"/>
      <c r="B247" s="151"/>
      <c r="G247" s="154"/>
      <c r="T247" s="364"/>
      <c r="W247" s="220"/>
      <c r="X247" s="363"/>
    </row>
    <row r="248" spans="1:24" s="149" customFormat="1" ht="11.25" x14ac:dyDescent="0.2">
      <c r="A248" s="150"/>
      <c r="B248" s="151"/>
      <c r="G248" s="154"/>
      <c r="P248" s="153"/>
      <c r="T248" s="153"/>
      <c r="W248" s="220"/>
      <c r="X248" s="363"/>
    </row>
    <row r="249" spans="1:24" s="149" customFormat="1" ht="11.25" x14ac:dyDescent="0.2">
      <c r="A249" s="150"/>
      <c r="B249" s="151"/>
      <c r="G249" s="154"/>
      <c r="X249" s="365"/>
    </row>
    <row r="250" spans="1:24" s="149" customFormat="1" ht="11.25" x14ac:dyDescent="0.2">
      <c r="A250" s="150"/>
      <c r="B250" s="151"/>
      <c r="G250" s="154"/>
      <c r="X250" s="362"/>
    </row>
    <row r="251" spans="1:24" s="149" customFormat="1" ht="11.25" x14ac:dyDescent="0.2">
      <c r="A251" s="150"/>
      <c r="B251" s="151"/>
      <c r="G251" s="154"/>
      <c r="X251" s="362"/>
    </row>
    <row r="252" spans="1:24" s="149" customFormat="1" ht="11.25" x14ac:dyDescent="0.2">
      <c r="A252" s="150"/>
      <c r="B252" s="151"/>
      <c r="G252" s="154"/>
      <c r="X252" s="362"/>
    </row>
    <row r="253" spans="1:24" s="149" customFormat="1" ht="11.25" x14ac:dyDescent="0.2">
      <c r="A253" s="150"/>
      <c r="B253" s="151"/>
      <c r="G253" s="154"/>
      <c r="X253" s="362"/>
    </row>
    <row r="254" spans="1:24" s="158" customFormat="1" ht="10.5" x14ac:dyDescent="0.15">
      <c r="A254" s="156"/>
      <c r="B254" s="157"/>
      <c r="G254" s="159"/>
      <c r="X254" s="366"/>
    </row>
    <row r="255" spans="1:24" s="158" customFormat="1" ht="10.5" x14ac:dyDescent="0.15">
      <c r="A255" s="156"/>
      <c r="B255" s="157"/>
      <c r="G255" s="159"/>
      <c r="X255" s="366"/>
    </row>
    <row r="256" spans="1:24" s="158" customFormat="1" ht="10.5" x14ac:dyDescent="0.15">
      <c r="A256" s="156"/>
      <c r="B256" s="157"/>
      <c r="G256" s="159"/>
      <c r="X256" s="366"/>
    </row>
  </sheetData>
  <sheetProtection formatCells="0" formatColumns="0" formatRows="0" insertColumns="0" autoFilter="0"/>
  <autoFilter ref="A16:NR239" xr:uid="{C0915A77-CD88-4C74-92D9-DDE5DE29DDD3}">
    <filterColumn colId="1">
      <filters>
        <filter val="2"/>
      </filters>
    </filterColumn>
  </autoFilter>
  <mergeCells count="22">
    <mergeCell ref="U6:U16"/>
    <mergeCell ref="V6:V16"/>
    <mergeCell ref="W6:W16"/>
    <mergeCell ref="C237:G237"/>
    <mergeCell ref="O6:O16"/>
    <mergeCell ref="P6:P16"/>
    <mergeCell ref="Q6:Q16"/>
    <mergeCell ref="R6:R16"/>
    <mergeCell ref="S6:S16"/>
    <mergeCell ref="T6:T16"/>
    <mergeCell ref="I6:I16"/>
    <mergeCell ref="J6:J16"/>
    <mergeCell ref="K6:K16"/>
    <mergeCell ref="L6:L16"/>
    <mergeCell ref="M6:M16"/>
    <mergeCell ref="N6:N16"/>
    <mergeCell ref="H6:H16"/>
    <mergeCell ref="C6:C16"/>
    <mergeCell ref="D6:D16"/>
    <mergeCell ref="E6:E16"/>
    <mergeCell ref="F6:F16"/>
    <mergeCell ref="G6:G16"/>
  </mergeCells>
  <pageMargins left="0.23622047244094491" right="0.23622047244094491" top="0.74803149606299213" bottom="0.74803149606299213" header="0.31496062992125984" footer="0.31496062992125984"/>
  <pageSetup paperSize="5" scale="63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2A46-0ECD-4842-9203-998766E37897}">
  <dimension ref="A1:E139"/>
  <sheetViews>
    <sheetView showGridLines="0" tabSelected="1" topLeftCell="A4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4.140625" bestFit="1" customWidth="1"/>
  </cols>
  <sheetData>
    <row r="1" spans="1:3" ht="18.75" x14ac:dyDescent="0.25">
      <c r="A1" s="389"/>
      <c r="B1" s="389"/>
      <c r="C1" s="389"/>
    </row>
    <row r="2" spans="1:3" ht="18.75" x14ac:dyDescent="0.25">
      <c r="A2" s="267"/>
      <c r="B2" s="267"/>
      <c r="C2" s="267"/>
    </row>
    <row r="3" spans="1:3" ht="18.75" x14ac:dyDescent="0.25">
      <c r="A3" s="267"/>
      <c r="B3" s="267"/>
      <c r="C3" s="267"/>
    </row>
    <row r="4" spans="1:3" ht="18.75" x14ac:dyDescent="0.25">
      <c r="A4" s="267"/>
      <c r="B4" s="267"/>
      <c r="C4" s="267"/>
    </row>
    <row r="5" spans="1:3" ht="21" customHeight="1" x14ac:dyDescent="0.25">
      <c r="A5" s="390" t="s">
        <v>357</v>
      </c>
      <c r="B5" s="390"/>
      <c r="C5" s="390"/>
    </row>
    <row r="6" spans="1:3" ht="15.75" x14ac:dyDescent="0.25">
      <c r="A6" s="390" t="s">
        <v>360</v>
      </c>
      <c r="B6" s="390"/>
      <c r="C6" s="390"/>
    </row>
    <row r="7" spans="1:3" x14ac:dyDescent="0.25">
      <c r="A7" s="391" t="s">
        <v>358</v>
      </c>
      <c r="B7" s="391"/>
      <c r="C7" s="391"/>
    </row>
    <row r="8" spans="1:3" ht="17.25" customHeight="1" thickBot="1" x14ac:dyDescent="0.3"/>
    <row r="9" spans="1:3" ht="32.25" thickBot="1" x14ac:dyDescent="0.3">
      <c r="A9" s="370" t="s">
        <v>0</v>
      </c>
      <c r="B9" s="372" t="s">
        <v>37</v>
      </c>
      <c r="C9" s="371" t="s">
        <v>38</v>
      </c>
    </row>
    <row r="10" spans="1:3" x14ac:dyDescent="0.25">
      <c r="A10" s="1" t="s">
        <v>1</v>
      </c>
      <c r="B10" s="368">
        <f>SUM(B11,B17,B27,B37,B45,B53,B64,B69,B72)</f>
        <v>72826675</v>
      </c>
      <c r="C10" s="369"/>
    </row>
    <row r="11" spans="1:3" x14ac:dyDescent="0.25">
      <c r="A11" s="3" t="s">
        <v>2</v>
      </c>
      <c r="B11" s="367">
        <f>+B12+B13+B14+B16+B15</f>
        <v>44642167</v>
      </c>
      <c r="C11" s="45"/>
    </row>
    <row r="12" spans="1:3" x14ac:dyDescent="0.25">
      <c r="A12" s="8" t="s">
        <v>3</v>
      </c>
      <c r="B12" s="44">
        <v>35073121</v>
      </c>
      <c r="C12" s="44"/>
    </row>
    <row r="13" spans="1:3" x14ac:dyDescent="0.25">
      <c r="A13" s="8" t="s">
        <v>4</v>
      </c>
      <c r="B13" s="44">
        <v>4653920</v>
      </c>
      <c r="C13" s="44"/>
    </row>
    <row r="14" spans="1:3" x14ac:dyDescent="0.25">
      <c r="A14" s="8" t="s">
        <v>40</v>
      </c>
      <c r="B14" s="44">
        <v>316000</v>
      </c>
      <c r="C14" s="44"/>
    </row>
    <row r="15" spans="1:3" x14ac:dyDescent="0.25">
      <c r="A15" s="8" t="s">
        <v>5</v>
      </c>
      <c r="B15" s="44">
        <v>0</v>
      </c>
      <c r="C15" s="46"/>
    </row>
    <row r="16" spans="1:3" x14ac:dyDescent="0.25">
      <c r="A16" s="8" t="s">
        <v>6</v>
      </c>
      <c r="B16" s="44">
        <v>4599126</v>
      </c>
      <c r="C16" s="44"/>
    </row>
    <row r="17" spans="1:3" x14ac:dyDescent="0.25">
      <c r="A17" s="3" t="s">
        <v>7</v>
      </c>
      <c r="B17" s="47">
        <f>SUM(B18:B26)</f>
        <v>22658996</v>
      </c>
      <c r="C17" s="47"/>
    </row>
    <row r="18" spans="1:3" ht="17.25" customHeight="1" x14ac:dyDescent="0.25">
      <c r="A18" s="8" t="s">
        <v>8</v>
      </c>
      <c r="B18" s="44">
        <v>2114850</v>
      </c>
      <c r="C18" s="44"/>
    </row>
    <row r="19" spans="1:3" x14ac:dyDescent="0.25">
      <c r="A19" s="8" t="s">
        <v>9</v>
      </c>
      <c r="B19" s="44">
        <v>850000</v>
      </c>
      <c r="C19" s="44"/>
    </row>
    <row r="20" spans="1:3" x14ac:dyDescent="0.25">
      <c r="A20" s="8" t="s">
        <v>10</v>
      </c>
      <c r="B20" s="44">
        <v>2700000</v>
      </c>
      <c r="C20" s="44"/>
    </row>
    <row r="21" spans="1:3" ht="18" customHeight="1" x14ac:dyDescent="0.25">
      <c r="A21" s="8" t="s">
        <v>11</v>
      </c>
      <c r="B21" s="44">
        <v>55000</v>
      </c>
      <c r="C21" s="44"/>
    </row>
    <row r="22" spans="1:3" x14ac:dyDescent="0.25">
      <c r="A22" s="8" t="s">
        <v>12</v>
      </c>
      <c r="B22" s="44">
        <v>920000</v>
      </c>
      <c r="C22" s="44"/>
    </row>
    <row r="23" spans="1:3" x14ac:dyDescent="0.25">
      <c r="A23" s="8" t="s">
        <v>13</v>
      </c>
      <c r="B23" s="44">
        <v>3612433</v>
      </c>
      <c r="C23" s="44"/>
    </row>
    <row r="24" spans="1:3" x14ac:dyDescent="0.25">
      <c r="A24" s="8" t="s">
        <v>14</v>
      </c>
      <c r="B24" s="44">
        <v>1439000</v>
      </c>
      <c r="C24" s="44"/>
    </row>
    <row r="25" spans="1:3" x14ac:dyDescent="0.25">
      <c r="A25" s="8" t="s">
        <v>15</v>
      </c>
      <c r="B25" s="44">
        <v>10567713</v>
      </c>
      <c r="C25" s="44"/>
    </row>
    <row r="26" spans="1:3" x14ac:dyDescent="0.25">
      <c r="A26" s="8" t="s">
        <v>41</v>
      </c>
      <c r="B26" s="44">
        <v>400000</v>
      </c>
      <c r="C26" s="44"/>
    </row>
    <row r="27" spans="1:3" x14ac:dyDescent="0.25">
      <c r="A27" s="3" t="s">
        <v>16</v>
      </c>
      <c r="B27" s="47">
        <f>SUM(B28:B36)</f>
        <v>4395512</v>
      </c>
      <c r="C27" s="47"/>
    </row>
    <row r="28" spans="1:3" x14ac:dyDescent="0.25">
      <c r="A28" s="8" t="s">
        <v>17</v>
      </c>
      <c r="B28" s="44">
        <v>100000</v>
      </c>
      <c r="C28" s="44"/>
    </row>
    <row r="29" spans="1:3" x14ac:dyDescent="0.25">
      <c r="A29" s="8" t="s">
        <v>18</v>
      </c>
      <c r="B29" s="44">
        <v>60000</v>
      </c>
      <c r="C29" s="44"/>
    </row>
    <row r="30" spans="1:3" x14ac:dyDescent="0.25">
      <c r="A30" s="8" t="s">
        <v>19</v>
      </c>
      <c r="B30" s="44">
        <v>329400</v>
      </c>
      <c r="C30" s="44"/>
    </row>
    <row r="31" spans="1:3" x14ac:dyDescent="0.25">
      <c r="A31" s="8" t="s">
        <v>20</v>
      </c>
      <c r="B31" s="44">
        <v>8000</v>
      </c>
      <c r="C31" s="44"/>
    </row>
    <row r="32" spans="1:3" x14ac:dyDescent="0.25">
      <c r="A32" s="8" t="s">
        <v>21</v>
      </c>
      <c r="B32" s="44">
        <v>325000</v>
      </c>
      <c r="C32" s="44"/>
    </row>
    <row r="33" spans="1:3" x14ac:dyDescent="0.25">
      <c r="A33" s="8" t="s">
        <v>22</v>
      </c>
      <c r="B33" s="44">
        <v>13900</v>
      </c>
      <c r="C33" s="44"/>
    </row>
    <row r="34" spans="1:3" x14ac:dyDescent="0.25">
      <c r="A34" s="8" t="s">
        <v>23</v>
      </c>
      <c r="B34" s="44">
        <v>2580000</v>
      </c>
      <c r="C34" s="44"/>
    </row>
    <row r="35" spans="1:3" x14ac:dyDescent="0.25">
      <c r="A35" s="8" t="s">
        <v>42</v>
      </c>
      <c r="B35" s="44"/>
      <c r="C35" s="46"/>
    </row>
    <row r="36" spans="1:3" x14ac:dyDescent="0.25">
      <c r="A36" s="8" t="s">
        <v>24</v>
      </c>
      <c r="B36" s="44">
        <v>979212</v>
      </c>
      <c r="C36" s="44"/>
    </row>
    <row r="37" spans="1:3" x14ac:dyDescent="0.25">
      <c r="A37" s="3" t="s">
        <v>25</v>
      </c>
      <c r="B37" s="47"/>
      <c r="C37" s="46"/>
    </row>
    <row r="38" spans="1:3" x14ac:dyDescent="0.25">
      <c r="A38" s="8" t="s">
        <v>26</v>
      </c>
      <c r="B38" s="44">
        <v>0</v>
      </c>
      <c r="C38" s="46"/>
    </row>
    <row r="39" spans="1:3" x14ac:dyDescent="0.25">
      <c r="A39" s="8" t="s">
        <v>43</v>
      </c>
      <c r="B39" s="44"/>
      <c r="C39" s="46"/>
    </row>
    <row r="40" spans="1:3" x14ac:dyDescent="0.25">
      <c r="A40" s="8" t="s">
        <v>44</v>
      </c>
      <c r="B40" s="44"/>
      <c r="C40" s="46"/>
    </row>
    <row r="41" spans="1:3" x14ac:dyDescent="0.25">
      <c r="A41" s="8" t="s">
        <v>45</v>
      </c>
      <c r="B41" s="44"/>
      <c r="C41" s="46"/>
    </row>
    <row r="42" spans="1:3" x14ac:dyDescent="0.25">
      <c r="A42" s="8" t="s">
        <v>46</v>
      </c>
      <c r="B42" s="44"/>
      <c r="C42" s="46"/>
    </row>
    <row r="43" spans="1:3" x14ac:dyDescent="0.25">
      <c r="A43" s="8" t="s">
        <v>27</v>
      </c>
      <c r="B43" s="44"/>
      <c r="C43" s="46"/>
    </row>
    <row r="44" spans="1:3" x14ac:dyDescent="0.25">
      <c r="A44" s="8" t="s">
        <v>47</v>
      </c>
      <c r="B44" s="44"/>
      <c r="C44" s="46"/>
    </row>
    <row r="45" spans="1:3" x14ac:dyDescent="0.25">
      <c r="A45" s="3" t="s">
        <v>48</v>
      </c>
      <c r="B45" s="47">
        <v>0</v>
      </c>
      <c r="C45" s="46"/>
    </row>
    <row r="46" spans="1:3" x14ac:dyDescent="0.25">
      <c r="A46" s="8" t="s">
        <v>49</v>
      </c>
      <c r="B46" s="44"/>
      <c r="C46" s="46"/>
    </row>
    <row r="47" spans="1:3" x14ac:dyDescent="0.25">
      <c r="A47" s="8" t="s">
        <v>50</v>
      </c>
      <c r="B47" s="44"/>
      <c r="C47" s="46"/>
    </row>
    <row r="48" spans="1:3" x14ac:dyDescent="0.25">
      <c r="A48" s="8" t="s">
        <v>51</v>
      </c>
      <c r="B48" s="44"/>
      <c r="C48" s="46"/>
    </row>
    <row r="49" spans="1:5" x14ac:dyDescent="0.25">
      <c r="A49" s="8" t="s">
        <v>52</v>
      </c>
      <c r="B49" s="44"/>
      <c r="C49" s="46"/>
    </row>
    <row r="50" spans="1:5" x14ac:dyDescent="0.25">
      <c r="A50" s="8" t="s">
        <v>53</v>
      </c>
      <c r="B50" s="44"/>
      <c r="C50" s="46"/>
    </row>
    <row r="51" spans="1:5" x14ac:dyDescent="0.25">
      <c r="A51" s="8" t="s">
        <v>54</v>
      </c>
      <c r="B51" s="44"/>
      <c r="C51" s="46"/>
    </row>
    <row r="52" spans="1:5" x14ac:dyDescent="0.25">
      <c r="A52" s="8" t="s">
        <v>55</v>
      </c>
      <c r="B52" s="44"/>
      <c r="C52" s="46"/>
    </row>
    <row r="53" spans="1:5" x14ac:dyDescent="0.25">
      <c r="A53" s="3" t="s">
        <v>28</v>
      </c>
      <c r="B53" s="47">
        <f>SUM(B54:B62)</f>
        <v>1130000</v>
      </c>
      <c r="C53" s="47"/>
    </row>
    <row r="54" spans="1:5" x14ac:dyDescent="0.25">
      <c r="A54" s="8" t="s">
        <v>29</v>
      </c>
      <c r="B54" s="44">
        <v>750000</v>
      </c>
      <c r="C54" s="44"/>
    </row>
    <row r="55" spans="1:5" x14ac:dyDescent="0.25">
      <c r="A55" s="8" t="s">
        <v>30</v>
      </c>
      <c r="B55" s="44"/>
      <c r="C55" s="46"/>
    </row>
    <row r="56" spans="1:5" x14ac:dyDescent="0.25">
      <c r="A56" s="8" t="s">
        <v>31</v>
      </c>
      <c r="B56" s="44"/>
      <c r="C56" s="46"/>
    </row>
    <row r="57" spans="1:5" x14ac:dyDescent="0.25">
      <c r="A57" s="8" t="s">
        <v>32</v>
      </c>
      <c r="B57" s="44">
        <v>0</v>
      </c>
      <c r="C57" s="46"/>
    </row>
    <row r="58" spans="1:5" ht="22.5" customHeight="1" x14ac:dyDescent="0.25">
      <c r="A58" s="8" t="s">
        <v>33</v>
      </c>
      <c r="B58" s="44">
        <v>380000</v>
      </c>
      <c r="C58" s="44"/>
      <c r="E58" s="43"/>
    </row>
    <row r="59" spans="1:5" x14ac:dyDescent="0.25">
      <c r="A59" s="8" t="s">
        <v>56</v>
      </c>
      <c r="B59" s="44"/>
      <c r="C59" s="46"/>
    </row>
    <row r="60" spans="1:5" x14ac:dyDescent="0.25">
      <c r="A60" s="8" t="s">
        <v>57</v>
      </c>
      <c r="B60" s="44"/>
      <c r="C60" s="46"/>
    </row>
    <row r="61" spans="1:5" x14ac:dyDescent="0.25">
      <c r="A61" s="8" t="s">
        <v>34</v>
      </c>
      <c r="B61" s="44"/>
      <c r="C61" s="44"/>
    </row>
    <row r="62" spans="1:5" x14ac:dyDescent="0.25">
      <c r="A62" s="8" t="s">
        <v>58</v>
      </c>
      <c r="B62" s="44"/>
      <c r="C62" s="44"/>
    </row>
    <row r="63" spans="1:5" ht="22.5" customHeight="1" x14ac:dyDescent="0.25">
      <c r="A63" s="8"/>
    </row>
    <row r="64" spans="1:5" x14ac:dyDescent="0.25">
      <c r="A64" s="3" t="s">
        <v>59</v>
      </c>
      <c r="B64" s="44"/>
      <c r="C64" s="46"/>
    </row>
    <row r="65" spans="1:3" x14ac:dyDescent="0.25">
      <c r="A65" s="8" t="s">
        <v>60</v>
      </c>
      <c r="B65" s="44"/>
      <c r="C65" s="46"/>
    </row>
    <row r="66" spans="1:3" x14ac:dyDescent="0.25">
      <c r="A66" s="8" t="s">
        <v>61</v>
      </c>
      <c r="B66" s="44"/>
      <c r="C66" s="46"/>
    </row>
    <row r="67" spans="1:3" x14ac:dyDescent="0.25">
      <c r="A67" s="8" t="s">
        <v>62</v>
      </c>
      <c r="B67" s="44"/>
      <c r="C67" s="46"/>
    </row>
    <row r="68" spans="1:3" x14ac:dyDescent="0.25">
      <c r="A68" s="8" t="s">
        <v>63</v>
      </c>
      <c r="B68" s="44"/>
      <c r="C68" s="46"/>
    </row>
    <row r="69" spans="1:3" x14ac:dyDescent="0.25">
      <c r="A69" s="3" t="s">
        <v>64</v>
      </c>
      <c r="B69" s="47"/>
      <c r="C69" s="46"/>
    </row>
    <row r="70" spans="1:3" x14ac:dyDescent="0.25">
      <c r="A70" s="8" t="s">
        <v>65</v>
      </c>
      <c r="B70" s="44"/>
      <c r="C70" s="46"/>
    </row>
    <row r="71" spans="1:3" x14ac:dyDescent="0.25">
      <c r="A71" s="8" t="s">
        <v>66</v>
      </c>
      <c r="B71" s="44"/>
      <c r="C71" s="46"/>
    </row>
    <row r="72" spans="1:3" x14ac:dyDescent="0.25">
      <c r="A72" s="3" t="s">
        <v>67</v>
      </c>
      <c r="B72" s="47"/>
      <c r="C72" s="46"/>
    </row>
    <row r="73" spans="1:3" x14ac:dyDescent="0.25">
      <c r="A73" s="8" t="s">
        <v>68</v>
      </c>
      <c r="B73" s="44"/>
      <c r="C73" s="46"/>
    </row>
    <row r="74" spans="1:3" x14ac:dyDescent="0.25">
      <c r="A74" s="8" t="s">
        <v>69</v>
      </c>
      <c r="B74" s="44"/>
      <c r="C74" s="46"/>
    </row>
    <row r="75" spans="1:3" x14ac:dyDescent="0.25">
      <c r="A75" s="8" t="s">
        <v>70</v>
      </c>
      <c r="B75" s="44"/>
      <c r="C75" s="46"/>
    </row>
    <row r="76" spans="1:3" x14ac:dyDescent="0.25">
      <c r="A76" s="10" t="s">
        <v>35</v>
      </c>
      <c r="B76" s="25">
        <f>SUM(B72,B69,B64,B53,B45,B37,B27,B17,B11)</f>
        <v>72826675</v>
      </c>
      <c r="C76" s="25">
        <f>+C11+C17+C27+C53</f>
        <v>0</v>
      </c>
    </row>
    <row r="77" spans="1:3" x14ac:dyDescent="0.25">
      <c r="A77" s="5"/>
      <c r="B77" s="22"/>
      <c r="C77" s="23"/>
    </row>
    <row r="78" spans="1:3" x14ac:dyDescent="0.25">
      <c r="A78" s="1" t="s">
        <v>71</v>
      </c>
      <c r="B78" s="24"/>
      <c r="C78" s="23"/>
    </row>
    <row r="79" spans="1:3" x14ac:dyDescent="0.25">
      <c r="A79" s="3" t="s">
        <v>72</v>
      </c>
      <c r="B79" s="24"/>
      <c r="C79" s="23"/>
    </row>
    <row r="80" spans="1:3" x14ac:dyDescent="0.25">
      <c r="A80" s="8" t="s">
        <v>73</v>
      </c>
      <c r="B80" s="22"/>
      <c r="C80" s="23"/>
    </row>
    <row r="81" spans="1:3" x14ac:dyDescent="0.25">
      <c r="A81" s="8" t="s">
        <v>74</v>
      </c>
      <c r="B81" s="22"/>
      <c r="C81" s="23"/>
    </row>
    <row r="82" spans="1:3" x14ac:dyDescent="0.25">
      <c r="A82" s="3" t="s">
        <v>75</v>
      </c>
      <c r="B82" s="24"/>
      <c r="C82" s="23"/>
    </row>
    <row r="83" spans="1:3" x14ac:dyDescent="0.25">
      <c r="A83" s="8" t="s">
        <v>76</v>
      </c>
      <c r="B83" s="22"/>
      <c r="C83" s="23"/>
    </row>
    <row r="84" spans="1:3" x14ac:dyDescent="0.25">
      <c r="A84" s="8" t="s">
        <v>77</v>
      </c>
      <c r="B84" s="22"/>
      <c r="C84" s="23"/>
    </row>
    <row r="85" spans="1:3" x14ac:dyDescent="0.25">
      <c r="A85" s="3" t="s">
        <v>78</v>
      </c>
      <c r="B85" s="24"/>
      <c r="C85" s="23"/>
    </row>
    <row r="86" spans="1:3" x14ac:dyDescent="0.25">
      <c r="A86" s="8" t="s">
        <v>79</v>
      </c>
      <c r="B86" s="22"/>
      <c r="C86" s="23"/>
    </row>
    <row r="87" spans="1:3" x14ac:dyDescent="0.25">
      <c r="A87" s="10" t="s">
        <v>80</v>
      </c>
      <c r="B87" s="25"/>
      <c r="C87" s="25"/>
    </row>
    <row r="88" spans="1:3" ht="15.75" thickBot="1" x14ac:dyDescent="0.3">
      <c r="B88" s="373"/>
      <c r="C88" s="373"/>
    </row>
    <row r="89" spans="1:3" ht="16.5" thickBot="1" x14ac:dyDescent="0.3">
      <c r="A89" s="11" t="s">
        <v>81</v>
      </c>
      <c r="B89" s="374">
        <f>+B76</f>
        <v>72826675</v>
      </c>
      <c r="C89" s="375">
        <f>+C76</f>
        <v>0</v>
      </c>
    </row>
    <row r="90" spans="1:3" x14ac:dyDescent="0.25">
      <c r="A90" t="s">
        <v>351</v>
      </c>
      <c r="B90" s="18" t="s">
        <v>113</v>
      </c>
    </row>
    <row r="91" spans="1:3" x14ac:dyDescent="0.25">
      <c r="B91" s="18"/>
    </row>
    <row r="92" spans="1:3" ht="18.75" x14ac:dyDescent="0.3">
      <c r="A92" s="9" t="s">
        <v>39</v>
      </c>
      <c r="B92" s="18"/>
    </row>
    <row r="93" spans="1:3" x14ac:dyDescent="0.25">
      <c r="A93" s="16" t="s">
        <v>353</v>
      </c>
      <c r="B93" s="18"/>
    </row>
    <row r="94" spans="1:3" x14ac:dyDescent="0.25">
      <c r="A94" s="16" t="s">
        <v>352</v>
      </c>
      <c r="B94" s="18"/>
    </row>
    <row r="95" spans="1:3" x14ac:dyDescent="0.25">
      <c r="A95" s="16" t="s">
        <v>354</v>
      </c>
      <c r="B95" s="18"/>
    </row>
    <row r="96" spans="1:3" x14ac:dyDescent="0.25">
      <c r="A96" s="16" t="s">
        <v>355</v>
      </c>
      <c r="B96" s="18"/>
    </row>
    <row r="97" spans="1:3" x14ac:dyDescent="0.25">
      <c r="A97" s="16" t="s">
        <v>356</v>
      </c>
      <c r="B97" s="18"/>
    </row>
    <row r="98" spans="1:3" x14ac:dyDescent="0.25">
      <c r="B98" t="s">
        <v>113</v>
      </c>
      <c r="C98" t="s">
        <v>113</v>
      </c>
    </row>
    <row r="99" spans="1:3" x14ac:dyDescent="0.25">
      <c r="B99" s="40" t="s">
        <v>113</v>
      </c>
    </row>
    <row r="101" spans="1:3" x14ac:dyDescent="0.25">
      <c r="A101" t="s">
        <v>106</v>
      </c>
      <c r="B101" t="s">
        <v>107</v>
      </c>
    </row>
    <row r="105" spans="1:3" x14ac:dyDescent="0.25">
      <c r="A105" t="s">
        <v>119</v>
      </c>
      <c r="B105" t="s">
        <v>137</v>
      </c>
    </row>
    <row r="106" spans="1:3" x14ac:dyDescent="0.25">
      <c r="A106" s="28" t="s">
        <v>342</v>
      </c>
      <c r="B106" s="28" t="s">
        <v>359</v>
      </c>
      <c r="C106" s="28"/>
    </row>
    <row r="107" spans="1:3" x14ac:dyDescent="0.25">
      <c r="A107" t="s">
        <v>116</v>
      </c>
      <c r="B107" t="s">
        <v>118</v>
      </c>
    </row>
    <row r="108" spans="1:3" x14ac:dyDescent="0.25">
      <c r="A108" t="s">
        <v>112</v>
      </c>
    </row>
    <row r="109" spans="1:3" x14ac:dyDescent="0.25">
      <c r="A109" t="s">
        <v>108</v>
      </c>
    </row>
    <row r="110" spans="1:3" x14ac:dyDescent="0.25">
      <c r="A110" t="s">
        <v>109</v>
      </c>
    </row>
    <row r="111" spans="1:3" x14ac:dyDescent="0.25">
      <c r="A111" t="s">
        <v>110</v>
      </c>
    </row>
    <row r="112" spans="1:3" x14ac:dyDescent="0.25">
      <c r="A112" s="28" t="s">
        <v>134</v>
      </c>
    </row>
    <row r="113" spans="1:1" x14ac:dyDescent="0.25">
      <c r="A113" t="s">
        <v>135</v>
      </c>
    </row>
    <row r="114" spans="1:1" x14ac:dyDescent="0.25">
      <c r="A114" s="27"/>
    </row>
    <row r="115" spans="1:1" x14ac:dyDescent="0.25">
      <c r="A115" s="27" t="s">
        <v>111</v>
      </c>
    </row>
    <row r="116" spans="1:1" x14ac:dyDescent="0.25">
      <c r="A116" s="27"/>
    </row>
    <row r="134" spans="1:1" ht="18.75" x14ac:dyDescent="0.3">
      <c r="A134" s="9" t="s">
        <v>39</v>
      </c>
    </row>
    <row r="135" spans="1:1" x14ac:dyDescent="0.25">
      <c r="A135" s="16" t="s">
        <v>100</v>
      </c>
    </row>
    <row r="136" spans="1:1" x14ac:dyDescent="0.25">
      <c r="A136" s="16" t="s">
        <v>101</v>
      </c>
    </row>
    <row r="137" spans="1:1" ht="18.75" x14ac:dyDescent="0.3">
      <c r="A137" s="9" t="s">
        <v>92</v>
      </c>
    </row>
    <row r="138" spans="1:1" x14ac:dyDescent="0.25">
      <c r="A138" s="16" t="s">
        <v>98</v>
      </c>
    </row>
    <row r="139" spans="1:1" x14ac:dyDescent="0.25">
      <c r="A139" s="16" t="s">
        <v>99</v>
      </c>
    </row>
  </sheetData>
  <mergeCells count="4">
    <mergeCell ref="A1:C1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73D9D-7A0A-4BD2-91E5-23353DABF756}">
  <dimension ref="A1:AC108"/>
  <sheetViews>
    <sheetView showGridLines="0" view="pageBreakPreview" zoomScale="110" zoomScaleNormal="110" zoomScaleSheetLayoutView="110" workbookViewId="0">
      <pane xSplit="3" ySplit="9" topLeftCell="D92" activePane="bottomRight" state="frozen"/>
      <selection pane="topRight" activeCell="C1" sqref="C1"/>
      <selection pane="bottomLeft" activeCell="A10" sqref="A10"/>
      <selection pane="bottomRight" activeCell="E103" sqref="E103"/>
    </sheetView>
  </sheetViews>
  <sheetFormatPr baseColWidth="10" defaultColWidth="9.140625" defaultRowHeight="15" x14ac:dyDescent="0.25"/>
  <cols>
    <col min="1" max="1" width="2.42578125" style="222" customWidth="1"/>
    <col min="2" max="2" width="40" style="223" customWidth="1"/>
    <col min="3" max="3" width="6.7109375" style="223" customWidth="1"/>
    <col min="4" max="8" width="13.42578125" style="223" customWidth="1"/>
    <col min="9" max="9" width="14.5703125" style="223" customWidth="1"/>
    <col min="10" max="10" width="14.28515625" style="223" customWidth="1"/>
    <col min="11" max="11" width="14" style="228" customWidth="1"/>
    <col min="12" max="12" width="13.85546875" style="223" customWidth="1"/>
    <col min="13" max="13" width="14.42578125" style="223" customWidth="1"/>
    <col min="14" max="14" width="15" style="223" customWidth="1"/>
    <col min="15" max="15" width="18" style="223" customWidth="1"/>
    <col min="16" max="16" width="15.28515625" style="223" customWidth="1"/>
    <col min="17" max="17" width="9.140625" style="223"/>
    <col min="18" max="18" width="96.7109375" style="223" customWidth="1"/>
    <col min="19" max="19" width="9.140625" style="223"/>
    <col min="20" max="27" width="6" style="223" bestFit="1" customWidth="1"/>
    <col min="28" max="29" width="7" style="223" bestFit="1" customWidth="1"/>
    <col min="30" max="16384" width="9.140625" style="223"/>
  </cols>
  <sheetData>
    <row r="1" spans="1:29" ht="18.75" x14ac:dyDescent="0.3">
      <c r="B1" s="392" t="s">
        <v>104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R1" s="224" t="s">
        <v>92</v>
      </c>
    </row>
    <row r="2" spans="1:29" ht="18.75" x14ac:dyDescent="0.25">
      <c r="B2" s="392" t="s">
        <v>105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R2" s="225" t="s">
        <v>94</v>
      </c>
    </row>
    <row r="3" spans="1:29" ht="18.75" x14ac:dyDescent="0.25">
      <c r="B3" s="392" t="s">
        <v>121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R3" s="225" t="s">
        <v>95</v>
      </c>
    </row>
    <row r="4" spans="1:29" ht="15.75" customHeight="1" x14ac:dyDescent="0.25">
      <c r="B4" s="226"/>
      <c r="C4" s="226"/>
      <c r="D4" s="226"/>
      <c r="E4" s="226"/>
      <c r="F4" s="227" t="s">
        <v>337</v>
      </c>
      <c r="G4" s="226"/>
      <c r="H4" s="226"/>
      <c r="I4" s="226"/>
      <c r="J4" s="252" t="str">
        <f>IF(D108=2,D7,IF(E108=2,E7,IF(F108=2,F7,IF(G108=2,G7,IF(H108=2,H7,IF(I108=2,I7,IF(J108=2,J7,IF(K108=2,K7,IF(L108=2,L7,IF(M108=2,M7,IF(N108=2,N7,IF(O108=2,O7,""))))))))))))</f>
        <v>Diciembre</v>
      </c>
      <c r="K4" s="227" t="s">
        <v>345</v>
      </c>
      <c r="L4" s="226"/>
      <c r="M4" s="226"/>
      <c r="N4" s="226"/>
      <c r="O4" s="226"/>
      <c r="P4" s="226"/>
      <c r="R4" s="225" t="s">
        <v>93</v>
      </c>
    </row>
    <row r="5" spans="1:29" x14ac:dyDescent="0.25">
      <c r="B5" s="393" t="s">
        <v>36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R5" s="225" t="s">
        <v>96</v>
      </c>
    </row>
    <row r="6" spans="1:29" x14ac:dyDescent="0.25">
      <c r="R6" s="225" t="s">
        <v>97</v>
      </c>
    </row>
    <row r="7" spans="1:29" s="231" customFormat="1" ht="15.75" x14ac:dyDescent="0.25">
      <c r="A7" s="222"/>
      <c r="B7" s="229" t="s">
        <v>0</v>
      </c>
      <c r="C7" s="230" t="s">
        <v>103</v>
      </c>
      <c r="D7" s="230" t="s">
        <v>82</v>
      </c>
      <c r="E7" s="230" t="s">
        <v>83</v>
      </c>
      <c r="F7" s="230" t="s">
        <v>84</v>
      </c>
      <c r="G7" s="230" t="s">
        <v>85</v>
      </c>
      <c r="H7" s="230" t="s">
        <v>86</v>
      </c>
      <c r="I7" s="230" t="s">
        <v>87</v>
      </c>
      <c r="J7" s="230" t="s">
        <v>88</v>
      </c>
      <c r="K7" s="230" t="s">
        <v>89</v>
      </c>
      <c r="L7" s="230" t="s">
        <v>90</v>
      </c>
      <c r="M7" s="230" t="s">
        <v>91</v>
      </c>
      <c r="N7" s="230" t="s">
        <v>115</v>
      </c>
      <c r="O7" s="230" t="s">
        <v>117</v>
      </c>
      <c r="P7" s="230" t="s">
        <v>114</v>
      </c>
      <c r="AB7" s="253">
        <f>SUM(T8:AB8)</f>
        <v>11.029108875781253</v>
      </c>
      <c r="AC7" s="253">
        <f>+AB7+AC8</f>
        <v>13.989108875781252</v>
      </c>
    </row>
    <row r="8" spans="1:29" customFormat="1" x14ac:dyDescent="0.25">
      <c r="A8" s="218"/>
      <c r="B8" s="1" t="s">
        <v>1</v>
      </c>
      <c r="C8" s="17"/>
      <c r="D8" s="190"/>
      <c r="E8" s="190"/>
      <c r="F8" s="190"/>
      <c r="G8" s="190"/>
      <c r="H8" s="190"/>
      <c r="I8" s="190"/>
      <c r="J8" s="190"/>
      <c r="K8" s="191"/>
      <c r="L8" s="190"/>
      <c r="M8" s="190"/>
      <c r="N8" s="190"/>
      <c r="O8" s="190"/>
      <c r="P8" s="190"/>
      <c r="T8" s="18">
        <v>1</v>
      </c>
      <c r="U8" s="18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18">
        <v>1.48</v>
      </c>
      <c r="AC8" s="18">
        <f>+AB8*2</f>
        <v>2.96</v>
      </c>
    </row>
    <row r="9" spans="1:29" s="231" customFormat="1" ht="30" x14ac:dyDescent="0.25">
      <c r="A9" s="232">
        <v>1</v>
      </c>
      <c r="B9" s="233" t="s">
        <v>2</v>
      </c>
      <c r="C9" s="234"/>
      <c r="D9" s="254">
        <f>+D10+D11+D14</f>
        <v>3231956.3099999996</v>
      </c>
      <c r="E9" s="255">
        <f t="shared" ref="E9:I9" si="1">+E10+E11+E12+E14</f>
        <v>3263606.3099999996</v>
      </c>
      <c r="F9" s="255">
        <f t="shared" si="1"/>
        <v>3295256.3099999996</v>
      </c>
      <c r="G9" s="255">
        <f t="shared" si="1"/>
        <v>3236951.2199999997</v>
      </c>
      <c r="H9" s="255">
        <f t="shared" si="1"/>
        <v>3180788.6</v>
      </c>
      <c r="I9" s="255">
        <f t="shared" si="1"/>
        <v>3202168.15</v>
      </c>
      <c r="J9" s="255">
        <f>+J10+J11+J12+J14</f>
        <v>3392918.6800000006</v>
      </c>
      <c r="K9" s="255">
        <f>+K10+K11+K12+K14</f>
        <v>3770860.4</v>
      </c>
      <c r="L9" s="255">
        <f t="shared" ref="L9:O9" si="2">+L10+L11+L12+L14</f>
        <v>3565315.9899999998</v>
      </c>
      <c r="M9" s="255">
        <f t="shared" si="2"/>
        <v>3032763.7</v>
      </c>
      <c r="N9" s="255">
        <f t="shared" si="2"/>
        <v>8414320.4299999997</v>
      </c>
      <c r="O9" s="255">
        <f t="shared" si="2"/>
        <v>2947928.07</v>
      </c>
      <c r="P9" s="262">
        <f>+P10+P11+P12+P13+P14</f>
        <v>44534834.169999994</v>
      </c>
      <c r="T9" s="235"/>
    </row>
    <row r="10" spans="1:29" s="176" customFormat="1" x14ac:dyDescent="0.25">
      <c r="A10" s="219">
        <v>2</v>
      </c>
      <c r="B10" s="178" t="s">
        <v>3</v>
      </c>
      <c r="C10" s="175"/>
      <c r="D10" s="195">
        <v>2770472.26</v>
      </c>
      <c r="E10" s="196">
        <v>2770472.26</v>
      </c>
      <c r="F10" s="196">
        <v>2770472.26</v>
      </c>
      <c r="G10" s="196">
        <v>2747372.26</v>
      </c>
      <c r="H10" s="196">
        <v>2728692.06</v>
      </c>
      <c r="I10" s="196">
        <v>2780646.1</v>
      </c>
      <c r="J10" s="256">
        <f>2076227.62+17600+320000+110752.19+45000+171951.16+215691.16</f>
        <v>2957222.1300000004</v>
      </c>
      <c r="K10" s="256">
        <f>'Ejecución 2021'!Q18</f>
        <v>2497469.94</v>
      </c>
      <c r="L10" s="256">
        <f>'Ejecución 2021'!R18</f>
        <v>3136174.38</v>
      </c>
      <c r="M10" s="256">
        <f>'Ejecución 2021'!S18</f>
        <v>2595967.62</v>
      </c>
      <c r="N10" s="256">
        <f>'Ejecución 2021'!T18</f>
        <v>5444334.6099999994</v>
      </c>
      <c r="O10" s="256">
        <f>'Ejecución 2021'!U18</f>
        <v>2518267.62</v>
      </c>
      <c r="P10" s="263">
        <f t="shared" ref="P10:P13" si="3">SUM(D10:O10)</f>
        <v>35717563.5</v>
      </c>
    </row>
    <row r="11" spans="1:29" s="176" customFormat="1" x14ac:dyDescent="0.25">
      <c r="A11" s="219">
        <v>2</v>
      </c>
      <c r="B11" s="178" t="s">
        <v>4</v>
      </c>
      <c r="D11" s="195">
        <v>56250</v>
      </c>
      <c r="E11" s="196">
        <v>56250</v>
      </c>
      <c r="F11" s="196">
        <v>56250</v>
      </c>
      <c r="G11" s="196">
        <v>56250</v>
      </c>
      <c r="H11" s="196">
        <v>56250</v>
      </c>
      <c r="I11" s="196">
        <v>41250</v>
      </c>
      <c r="J11" s="196">
        <v>71250</v>
      </c>
      <c r="K11" s="256">
        <f>'Ejecución 2021'!Q35</f>
        <v>907671.48</v>
      </c>
      <c r="L11" s="256">
        <f>'Ejecución 2021'!R35</f>
        <v>56250</v>
      </c>
      <c r="M11" s="256">
        <f>'Ejecución 2021'!S35</f>
        <v>56250</v>
      </c>
      <c r="N11" s="256">
        <f>'Ejecución 2021'!T35</f>
        <v>2568635.6800000002</v>
      </c>
      <c r="O11" s="256">
        <f>'Ejecución 2021'!U35</f>
        <v>56250</v>
      </c>
      <c r="P11" s="263">
        <f t="shared" si="3"/>
        <v>4038807.16</v>
      </c>
    </row>
    <row r="12" spans="1:29" s="176" customFormat="1" ht="30" x14ac:dyDescent="0.25">
      <c r="A12" s="219">
        <v>2</v>
      </c>
      <c r="B12" s="178" t="s">
        <v>40</v>
      </c>
      <c r="D12" s="198"/>
      <c r="E12" s="196">
        <v>31650</v>
      </c>
      <c r="F12" s="196">
        <v>63300</v>
      </c>
      <c r="G12" s="196">
        <v>31650</v>
      </c>
      <c r="H12" s="196"/>
      <c r="I12" s="196"/>
      <c r="J12" s="196"/>
      <c r="K12" s="256">
        <f>'Ejecución 2021'!Q44</f>
        <v>0</v>
      </c>
      <c r="L12" s="256">
        <f>'Ejecución 2021'!R44</f>
        <v>0</v>
      </c>
      <c r="M12" s="256">
        <f>'Ejecución 2021'!S44</f>
        <v>0</v>
      </c>
      <c r="N12" s="256">
        <f>'Ejecución 2021'!T44</f>
        <v>0</v>
      </c>
      <c r="O12" s="256">
        <f>'Ejecución 2021'!U44</f>
        <v>3327.3</v>
      </c>
      <c r="P12" s="263">
        <f t="shared" si="3"/>
        <v>129927.3</v>
      </c>
    </row>
    <row r="13" spans="1:29" s="176" customFormat="1" ht="30" x14ac:dyDescent="0.25">
      <c r="A13" s="219">
        <v>2</v>
      </c>
      <c r="B13" s="178" t="s">
        <v>5</v>
      </c>
      <c r="D13" s="198"/>
      <c r="E13" s="196"/>
      <c r="F13" s="199"/>
      <c r="G13" s="196"/>
      <c r="H13" s="196"/>
      <c r="I13" s="196"/>
      <c r="J13" s="196"/>
      <c r="K13" s="256">
        <f>'Ejecución 2021'!Q51</f>
        <v>0</v>
      </c>
      <c r="L13" s="256">
        <f>'Ejecución 2021'!R51</f>
        <v>0</v>
      </c>
      <c r="M13" s="256">
        <f>'Ejecución 2021'!S51</f>
        <v>0</v>
      </c>
      <c r="N13" s="256">
        <f>'Ejecución 2021'!T51</f>
        <v>0</v>
      </c>
      <c r="O13" s="256">
        <f>'Ejecución 2021'!U51</f>
        <v>0</v>
      </c>
      <c r="P13" s="263">
        <f t="shared" si="3"/>
        <v>0</v>
      </c>
    </row>
    <row r="14" spans="1:29" s="176" customFormat="1" ht="30" x14ac:dyDescent="0.25">
      <c r="A14" s="219">
        <v>2</v>
      </c>
      <c r="B14" s="178" t="s">
        <v>6</v>
      </c>
      <c r="D14" s="195">
        <v>405234.05</v>
      </c>
      <c r="E14" s="179">
        <v>405234.05</v>
      </c>
      <c r="F14" s="179">
        <v>405234.05</v>
      </c>
      <c r="G14" s="179">
        <v>401678.96</v>
      </c>
      <c r="H14" s="179">
        <v>395846.54</v>
      </c>
      <c r="I14" s="179">
        <v>380272.05</v>
      </c>
      <c r="J14" s="257">
        <f>138939.1+148661.77+12492.31+3190.5+3195+540+12191.34+12208.53+1127.14+15292.5+15314.08+1294.28</f>
        <v>364446.5500000001</v>
      </c>
      <c r="K14" s="257">
        <f>'Ejecución 2021'!Q56</f>
        <v>365718.98</v>
      </c>
      <c r="L14" s="257">
        <f>'Ejecución 2021'!R56</f>
        <v>372891.61000000004</v>
      </c>
      <c r="M14" s="257">
        <f>'Ejecución 2021'!S56</f>
        <v>380546.08</v>
      </c>
      <c r="N14" s="257">
        <f>'Ejecución 2021'!T56</f>
        <v>401350.14</v>
      </c>
      <c r="O14" s="257">
        <f>'Ejecución 2021'!U56</f>
        <v>370083.15</v>
      </c>
      <c r="P14" s="263">
        <f>SUM(D14:O14)</f>
        <v>4648536.21</v>
      </c>
    </row>
    <row r="15" spans="1:29" s="231" customFormat="1" x14ac:dyDescent="0.25">
      <c r="A15" s="232">
        <v>1</v>
      </c>
      <c r="B15" s="233" t="s">
        <v>7</v>
      </c>
      <c r="D15" s="259">
        <f>+D16+D18+D21+D22+D23</f>
        <v>387287.54</v>
      </c>
      <c r="E15" s="258">
        <f>+E16+E18+E21+E22+E23+E24</f>
        <v>452480.33999999997</v>
      </c>
      <c r="F15" s="258">
        <f>+F16+F18+F21+F22+F23+F24</f>
        <v>416023.05</v>
      </c>
      <c r="G15" s="258">
        <f>+G16+G18+G21+G22+G23+G24</f>
        <v>506804.60000000003</v>
      </c>
      <c r="H15" s="258">
        <f>SUM(H16:H24)</f>
        <v>445524.89999999997</v>
      </c>
      <c r="I15" s="258">
        <f>+I16+I17+I18+I21+I22+I23+I24</f>
        <v>493778.05</v>
      </c>
      <c r="J15" s="258">
        <f>+J16+J17+J18+J21+J22+J23+J24</f>
        <v>563401.33299999998</v>
      </c>
      <c r="K15" s="258">
        <f>+K16+K17+K18+K21+K22+K23</f>
        <v>470945.36999999994</v>
      </c>
      <c r="L15" s="258">
        <f>L16+L20+L21+L22+L23+L24</f>
        <v>348624.2</v>
      </c>
      <c r="M15" s="258">
        <f>+M16+M17+M18+M19+M20+M21+M22+M23+M24</f>
        <v>497174.52</v>
      </c>
      <c r="N15" s="258">
        <f>+N16+N17+N18+N19+N20+N21+N22+N23+N24</f>
        <v>1022400.9099999999</v>
      </c>
      <c r="O15" s="258">
        <f>+O16+O17+O18+O19+O20+O21+O22+O23+O24</f>
        <v>940033.93</v>
      </c>
      <c r="P15" s="264">
        <f>+P16+P17+P18+P19+P21+P22+P23+P24</f>
        <v>6220316.7630000003</v>
      </c>
    </row>
    <row r="16" spans="1:29" s="176" customFormat="1" x14ac:dyDescent="0.25">
      <c r="A16" s="219">
        <v>2</v>
      </c>
      <c r="B16" s="178" t="s">
        <v>8</v>
      </c>
      <c r="D16" s="195">
        <v>139913.35999999999</v>
      </c>
      <c r="E16" s="196">
        <v>127226.84</v>
      </c>
      <c r="F16" s="196">
        <v>122680.05</v>
      </c>
      <c r="G16" s="196">
        <v>120850.14</v>
      </c>
      <c r="H16" s="196">
        <v>103997.79</v>
      </c>
      <c r="I16" s="196">
        <v>141075.01</v>
      </c>
      <c r="J16" s="256">
        <f>131638.82+13421.36+1188+2484</f>
        <v>148732.18</v>
      </c>
      <c r="K16" s="256">
        <f>'Ejecución 2021'!Q63</f>
        <v>126293.50999999998</v>
      </c>
      <c r="L16" s="256">
        <f>'Ejecución 2021'!R63</f>
        <v>153800.63</v>
      </c>
      <c r="M16" s="256">
        <f>'Ejecución 2021'!S63</f>
        <v>162120.22</v>
      </c>
      <c r="N16" s="256">
        <f>'Ejecución 2021'!T63</f>
        <v>158968.04999999999</v>
      </c>
      <c r="O16" s="256">
        <f>'Ejecución 2021'!U63</f>
        <v>210167.11</v>
      </c>
      <c r="P16" s="263">
        <f>SUM(D16:O16)</f>
        <v>1715824.8899999997</v>
      </c>
    </row>
    <row r="17" spans="1:16" s="176" customFormat="1" ht="30" x14ac:dyDescent="0.25">
      <c r="A17" s="219">
        <v>2</v>
      </c>
      <c r="B17" s="178" t="s">
        <v>9</v>
      </c>
      <c r="D17" s="198"/>
      <c r="E17" s="196"/>
      <c r="F17" s="199"/>
      <c r="G17" s="180"/>
      <c r="H17" s="196"/>
      <c r="I17" s="196"/>
      <c r="J17" s="196"/>
      <c r="K17" s="256">
        <f>'Ejecución 2021'!Q73</f>
        <v>0</v>
      </c>
      <c r="L17" s="256">
        <f>'Ejecución 2021'!R73</f>
        <v>0</v>
      </c>
      <c r="M17" s="256">
        <f>'Ejecución 2021'!S73</f>
        <v>0</v>
      </c>
      <c r="N17" s="256">
        <f>'Ejecución 2021'!T73</f>
        <v>0</v>
      </c>
      <c r="O17" s="256">
        <f>'Ejecución 2021'!U73</f>
        <v>37878</v>
      </c>
      <c r="P17" s="263">
        <f>SUM(D17:O17)</f>
        <v>37878</v>
      </c>
    </row>
    <row r="18" spans="1:16" s="176" customFormat="1" x14ac:dyDescent="0.25">
      <c r="A18" s="219">
        <v>2</v>
      </c>
      <c r="B18" s="178" t="s">
        <v>10</v>
      </c>
      <c r="D18" s="198"/>
      <c r="E18" s="196">
        <v>15700</v>
      </c>
      <c r="F18" s="196">
        <v>7800</v>
      </c>
      <c r="G18" s="196"/>
      <c r="H18" s="196"/>
      <c r="I18" s="196">
        <v>16486.96</v>
      </c>
      <c r="J18" s="196"/>
      <c r="K18" s="256">
        <f>'Ejecución 2021'!Q77</f>
        <v>0</v>
      </c>
      <c r="L18" s="256">
        <f>'Ejecución 2021'!R77</f>
        <v>0</v>
      </c>
      <c r="M18" s="256">
        <f>'Ejecución 2021'!S77</f>
        <v>0</v>
      </c>
      <c r="N18" s="256">
        <f>'Ejecución 2021'!T77</f>
        <v>0</v>
      </c>
      <c r="O18" s="256">
        <f>'Ejecución 2021'!U77</f>
        <v>91502.16</v>
      </c>
      <c r="P18" s="263">
        <f>SUM(D18:O18)</f>
        <v>131489.12</v>
      </c>
    </row>
    <row r="19" spans="1:16" s="176" customFormat="1" ht="18" customHeight="1" x14ac:dyDescent="0.25">
      <c r="A19" s="219">
        <v>2</v>
      </c>
      <c r="B19" s="178" t="s">
        <v>11</v>
      </c>
      <c r="D19" s="198"/>
      <c r="E19" s="199"/>
      <c r="F19" s="199"/>
      <c r="G19" s="199"/>
      <c r="H19" s="180"/>
      <c r="I19" s="180"/>
      <c r="J19" s="199"/>
      <c r="K19" s="256">
        <f>'Ejecución 2021'!Q81</f>
        <v>0</v>
      </c>
      <c r="L19" s="256">
        <f>'Ejecución 2021'!R81</f>
        <v>0</v>
      </c>
      <c r="M19" s="256">
        <f>'Ejecución 2021'!S81</f>
        <v>0</v>
      </c>
      <c r="N19" s="256">
        <f>'Ejecución 2021'!T81</f>
        <v>0</v>
      </c>
      <c r="O19" s="256">
        <f>'Ejecución 2021'!U81</f>
        <v>60000</v>
      </c>
      <c r="P19" s="263">
        <f>SUM(D19:M19)</f>
        <v>0</v>
      </c>
    </row>
    <row r="20" spans="1:16" s="176" customFormat="1" x14ac:dyDescent="0.25">
      <c r="A20" s="219">
        <v>2</v>
      </c>
      <c r="B20" s="178" t="s">
        <v>12</v>
      </c>
      <c r="D20" s="198"/>
      <c r="E20" s="196"/>
      <c r="F20" s="199"/>
      <c r="G20" s="199"/>
      <c r="H20" s="199"/>
      <c r="I20" s="199"/>
      <c r="J20" s="199"/>
      <c r="K20" s="256">
        <f>'Ejecución 2021'!Q85</f>
        <v>0</v>
      </c>
      <c r="L20" s="256">
        <f>'Ejecución 2021'!R85</f>
        <v>71188.320000000007</v>
      </c>
      <c r="M20" s="256">
        <f>'Ejecución 2021'!S85</f>
        <v>25000.66</v>
      </c>
      <c r="N20" s="256">
        <f>'Ejecución 2021'!T85</f>
        <v>25000.66</v>
      </c>
      <c r="O20" s="256">
        <f>'Ejecución 2021'!U85</f>
        <v>142972.34</v>
      </c>
      <c r="P20" s="263">
        <f t="shared" ref="P20:P72" si="4">SUM(D20:M20)</f>
        <v>96188.98000000001</v>
      </c>
    </row>
    <row r="21" spans="1:16" s="176" customFormat="1" x14ac:dyDescent="0.25">
      <c r="A21" s="219">
        <v>2</v>
      </c>
      <c r="B21" s="178" t="s">
        <v>13</v>
      </c>
      <c r="D21" s="203">
        <v>247374.18</v>
      </c>
      <c r="E21" s="196">
        <v>296461.73</v>
      </c>
      <c r="F21" s="196">
        <v>267140</v>
      </c>
      <c r="G21" s="196">
        <v>264414.46000000002</v>
      </c>
      <c r="H21" s="196">
        <v>329778.37</v>
      </c>
      <c r="I21" s="196">
        <v>312995.26</v>
      </c>
      <c r="J21" s="196">
        <v>373279.15299999999</v>
      </c>
      <c r="K21" s="256">
        <f>'Ejecución 2021'!Q91</f>
        <v>333249.33999999997</v>
      </c>
      <c r="L21" s="256">
        <f>'Ejecución 2021'!R91</f>
        <v>24098.12</v>
      </c>
      <c r="M21" s="256">
        <f>'Ejecución 2021'!S91</f>
        <v>31563.439999999999</v>
      </c>
      <c r="N21" s="256">
        <f>'Ejecución 2021'!T91</f>
        <v>638809.51</v>
      </c>
      <c r="O21" s="256">
        <f>'Ejecución 2021'!U91</f>
        <v>387882.02</v>
      </c>
      <c r="P21" s="263">
        <f>SUM(D21:O21)</f>
        <v>3507045.5830000001</v>
      </c>
    </row>
    <row r="22" spans="1:16" s="176" customFormat="1" ht="45" x14ac:dyDescent="0.25">
      <c r="A22" s="219">
        <v>2</v>
      </c>
      <c r="B22" s="178" t="s">
        <v>14</v>
      </c>
      <c r="D22" s="198"/>
      <c r="E22" s="196">
        <v>13091.77</v>
      </c>
      <c r="F22" s="196">
        <v>11500</v>
      </c>
      <c r="G22" s="196"/>
      <c r="H22" s="196">
        <v>11748.74</v>
      </c>
      <c r="I22" s="196">
        <v>11479.82</v>
      </c>
      <c r="J22" s="256">
        <f>15807.87+17569.93</f>
        <v>33377.800000000003</v>
      </c>
      <c r="K22" s="256">
        <f>'Ejecución 2021'!Q97</f>
        <v>8588.67</v>
      </c>
      <c r="L22" s="256">
        <f>'Ejecución 2021'!R97</f>
        <v>0</v>
      </c>
      <c r="M22" s="256">
        <f>'Ejecución 2021'!S97</f>
        <v>113026.6</v>
      </c>
      <c r="N22" s="256">
        <f>'Ejecución 2021'!T97</f>
        <v>166022.69</v>
      </c>
      <c r="O22" s="256">
        <f>'Ejecución 2021'!U97</f>
        <v>2644.41</v>
      </c>
      <c r="P22" s="263">
        <f>SUM(D22:O22)</f>
        <v>371480.5</v>
      </c>
    </row>
    <row r="23" spans="1:16" s="176" customFormat="1" ht="30" x14ac:dyDescent="0.25">
      <c r="A23" s="219">
        <v>2</v>
      </c>
      <c r="B23" s="178" t="s">
        <v>15</v>
      </c>
      <c r="D23" s="198"/>
      <c r="E23" s="196"/>
      <c r="F23" s="196"/>
      <c r="G23" s="196">
        <v>121540</v>
      </c>
      <c r="H23" s="196"/>
      <c r="I23" s="196"/>
      <c r="J23" s="196"/>
      <c r="K23" s="256">
        <f>'Ejecución 2021'!Q110</f>
        <v>2813.85</v>
      </c>
      <c r="L23" s="256">
        <f>'Ejecución 2021'!R110</f>
        <v>47200</v>
      </c>
      <c r="M23" s="256">
        <f>'Ejecución 2021'!S110</f>
        <v>155292</v>
      </c>
      <c r="N23" s="256">
        <f>'Ejecución 2021'!T110</f>
        <v>33600</v>
      </c>
      <c r="O23" s="256">
        <f>'Ejecución 2021'!U110</f>
        <v>6987.89</v>
      </c>
      <c r="P23" s="263">
        <f>SUM(D23:O23)</f>
        <v>367433.74</v>
      </c>
    </row>
    <row r="24" spans="1:16" s="176" customFormat="1" ht="30" x14ac:dyDescent="0.25">
      <c r="A24" s="219">
        <v>2</v>
      </c>
      <c r="B24" s="178" t="s">
        <v>41</v>
      </c>
      <c r="D24" s="198"/>
      <c r="E24" s="196"/>
      <c r="F24" s="196">
        <v>6903</v>
      </c>
      <c r="G24" s="196"/>
      <c r="H24" s="196"/>
      <c r="I24" s="196">
        <v>11741</v>
      </c>
      <c r="J24" s="196">
        <v>8012.2</v>
      </c>
      <c r="K24" s="256">
        <f>'Ejecución 2021'!Q130</f>
        <v>0</v>
      </c>
      <c r="L24" s="256">
        <f>'Ejecución 2021'!R130</f>
        <v>52337.13</v>
      </c>
      <c r="M24" s="256">
        <f>'Ejecución 2021'!S130</f>
        <v>10171.6</v>
      </c>
      <c r="N24" s="256">
        <f>'Ejecución 2021'!T130</f>
        <v>0</v>
      </c>
      <c r="O24" s="256">
        <f>'Ejecución 2021'!U130</f>
        <v>0</v>
      </c>
      <c r="P24" s="263">
        <f>SUM(D24:O24)</f>
        <v>89164.930000000008</v>
      </c>
    </row>
    <row r="25" spans="1:16" s="231" customFormat="1" x14ac:dyDescent="0.25">
      <c r="A25" s="232">
        <v>1</v>
      </c>
      <c r="B25" s="233" t="s">
        <v>16</v>
      </c>
      <c r="D25" s="260">
        <f>+D26+D28+D30+D32+D34+D33</f>
        <v>0</v>
      </c>
      <c r="E25" s="258">
        <f t="shared" ref="E25:I25" si="5">+E26+E28+E30+E32+E34+E33</f>
        <v>0</v>
      </c>
      <c r="F25" s="258">
        <f t="shared" si="5"/>
        <v>52392</v>
      </c>
      <c r="G25" s="258">
        <f t="shared" si="5"/>
        <v>64636</v>
      </c>
      <c r="H25" s="258">
        <f t="shared" si="5"/>
        <v>149791.29999999999</v>
      </c>
      <c r="I25" s="258">
        <f t="shared" si="5"/>
        <v>280000</v>
      </c>
      <c r="J25" s="258">
        <f>+J26+J27+J28+J30+J32+J34+J33</f>
        <v>369401.52</v>
      </c>
      <c r="K25" s="258">
        <f>+K26+K28+K30+K32+K34+K33</f>
        <v>29690.37</v>
      </c>
      <c r="L25" s="258">
        <f>+L26+L28+L30+L32+L34+L33</f>
        <v>29516</v>
      </c>
      <c r="M25" s="258">
        <f>+M26+M27+M28+M29+M30+M31+M32+M33+M34</f>
        <v>315153.09999999998</v>
      </c>
      <c r="N25" s="258">
        <f>+N26+N27+N28+N30+N32+N34+N33</f>
        <v>524805.19999999995</v>
      </c>
      <c r="O25" s="258">
        <f>+O26+O28+O30+O32+O34+O33+O27+O29</f>
        <v>637654.63</v>
      </c>
      <c r="P25" s="264">
        <f>+P26+P28+P30+P32+P34</f>
        <v>1689972.12</v>
      </c>
    </row>
    <row r="26" spans="1:16" s="176" customFormat="1" ht="30" x14ac:dyDescent="0.25">
      <c r="A26" s="219">
        <v>2</v>
      </c>
      <c r="B26" s="178" t="s">
        <v>17</v>
      </c>
      <c r="D26" s="198">
        <v>0</v>
      </c>
      <c r="E26" s="196"/>
      <c r="F26" s="196"/>
      <c r="G26" s="196"/>
      <c r="H26" s="196">
        <v>5802.9</v>
      </c>
      <c r="I26" s="196"/>
      <c r="J26" s="196"/>
      <c r="K26" s="256">
        <f>'Ejecución 2021'!Q134</f>
        <v>17033.5</v>
      </c>
      <c r="L26" s="256">
        <f>'Ejecución 2021'!R134</f>
        <v>13999</v>
      </c>
      <c r="M26" s="256">
        <f>'Ejecución 2021'!S134</f>
        <v>8085.27</v>
      </c>
      <c r="N26" s="256">
        <f>'Ejecución 2021'!T134</f>
        <v>11948</v>
      </c>
      <c r="O26" s="256">
        <f>'Ejecución 2021'!U134</f>
        <v>8972.5</v>
      </c>
      <c r="P26" s="263">
        <f>SUM(D26:O26)</f>
        <v>65841.17</v>
      </c>
    </row>
    <row r="27" spans="1:16" s="176" customFormat="1" x14ac:dyDescent="0.25">
      <c r="A27" s="219">
        <v>2</v>
      </c>
      <c r="B27" s="178" t="s">
        <v>18</v>
      </c>
      <c r="D27" s="198">
        <v>0</v>
      </c>
      <c r="E27" s="196"/>
      <c r="F27" s="199"/>
      <c r="G27" s="196"/>
      <c r="H27" s="196"/>
      <c r="I27" s="196"/>
      <c r="J27" s="196"/>
      <c r="K27" s="256">
        <f>'Ejecución 2021'!Q142</f>
        <v>0</v>
      </c>
      <c r="L27" s="256">
        <f>'Ejecución 2021'!R142</f>
        <v>0</v>
      </c>
      <c r="M27" s="256">
        <f>'Ejecución 2021'!S142</f>
        <v>0</v>
      </c>
      <c r="N27" s="256">
        <f>'Ejecución 2021'!T142</f>
        <v>0</v>
      </c>
      <c r="O27" s="256">
        <f>'Ejecución 2021'!U142</f>
        <v>0</v>
      </c>
      <c r="P27" s="263">
        <f>SUM(D27:O27)</f>
        <v>0</v>
      </c>
    </row>
    <row r="28" spans="1:16" s="176" customFormat="1" ht="30" x14ac:dyDescent="0.25">
      <c r="A28" s="219">
        <v>2</v>
      </c>
      <c r="B28" s="178" t="s">
        <v>19</v>
      </c>
      <c r="D28" s="198">
        <v>0</v>
      </c>
      <c r="E28" s="196"/>
      <c r="F28" s="196">
        <v>49560</v>
      </c>
      <c r="G28" s="196"/>
      <c r="H28" s="196"/>
      <c r="I28" s="196"/>
      <c r="J28" s="196"/>
      <c r="K28" s="256">
        <f>'Ejecución 2021'!Q148</f>
        <v>2005.75</v>
      </c>
      <c r="L28" s="256">
        <f>'Ejecución 2021'!R148</f>
        <v>0</v>
      </c>
      <c r="M28" s="256">
        <f>'Ejecución 2021'!S148</f>
        <v>53569.88</v>
      </c>
      <c r="N28" s="256">
        <f>'Ejecución 2021'!T148</f>
        <v>28261</v>
      </c>
      <c r="O28" s="256">
        <f>'Ejecución 2021'!U148</f>
        <v>60524.57</v>
      </c>
      <c r="P28" s="263">
        <f>SUM(D28:O28)</f>
        <v>193921.2</v>
      </c>
    </row>
    <row r="29" spans="1:16" s="176" customFormat="1" x14ac:dyDescent="0.25">
      <c r="A29" s="219">
        <v>2</v>
      </c>
      <c r="B29" s="178" t="s">
        <v>20</v>
      </c>
      <c r="D29" s="198"/>
      <c r="E29" s="199"/>
      <c r="F29" s="199"/>
      <c r="G29" s="199"/>
      <c r="H29" s="199"/>
      <c r="I29" s="199"/>
      <c r="J29" s="199"/>
      <c r="K29" s="256">
        <f>'Ejecución 2021'!Q154</f>
        <v>0</v>
      </c>
      <c r="L29" s="256">
        <f>'Ejecución 2021'!R154</f>
        <v>0</v>
      </c>
      <c r="M29" s="256">
        <f>'Ejecución 2021'!S154</f>
        <v>0</v>
      </c>
      <c r="N29" s="256">
        <f>'Ejecución 2021'!T154</f>
        <v>0</v>
      </c>
      <c r="O29" s="256">
        <f>'Ejecución 2021'!U154</f>
        <v>0</v>
      </c>
      <c r="P29" s="263">
        <f>SUM(D29:O29)</f>
        <v>0</v>
      </c>
    </row>
    <row r="30" spans="1:16" s="176" customFormat="1" ht="30" x14ac:dyDescent="0.25">
      <c r="A30" s="219">
        <v>2</v>
      </c>
      <c r="B30" s="178" t="s">
        <v>21</v>
      </c>
      <c r="D30" s="198">
        <v>0</v>
      </c>
      <c r="E30" s="196"/>
      <c r="F30" s="199"/>
      <c r="G30" s="196">
        <v>58500</v>
      </c>
      <c r="H30" s="199"/>
      <c r="I30" s="196"/>
      <c r="J30" s="196"/>
      <c r="K30" s="256">
        <f>'Ejecución 2021'!Q157</f>
        <v>0</v>
      </c>
      <c r="L30" s="256">
        <f>'Ejecución 2021'!R157</f>
        <v>0</v>
      </c>
      <c r="M30" s="256">
        <f>'Ejecución 2021'!S157</f>
        <v>260.77999999999997</v>
      </c>
      <c r="N30" s="256">
        <f>'Ejecución 2021'!T157</f>
        <v>0</v>
      </c>
      <c r="O30" s="256">
        <f>'Ejecución 2021'!U157</f>
        <v>83662.38</v>
      </c>
      <c r="P30" s="263">
        <f>SUM(D30:O30)</f>
        <v>142423.16</v>
      </c>
    </row>
    <row r="31" spans="1:16" s="176" customFormat="1" ht="30" x14ac:dyDescent="0.25">
      <c r="A31" s="219">
        <v>2</v>
      </c>
      <c r="B31" s="178" t="s">
        <v>22</v>
      </c>
      <c r="D31" s="198"/>
      <c r="E31" s="199"/>
      <c r="F31" s="199"/>
      <c r="G31" s="196"/>
      <c r="H31" s="199"/>
      <c r="I31" s="199"/>
      <c r="J31" s="199"/>
      <c r="K31" s="256">
        <f>'Ejecución 2021'!Q162</f>
        <v>0</v>
      </c>
      <c r="L31" s="256">
        <f>'Ejecución 2021'!R162</f>
        <v>0</v>
      </c>
      <c r="M31" s="256">
        <f>'Ejecución 2021'!S162</f>
        <v>0</v>
      </c>
      <c r="N31" s="256">
        <f>'Ejecución 2021'!T162</f>
        <v>0</v>
      </c>
      <c r="O31" s="256">
        <f>'Ejecución 2021'!U162</f>
        <v>0</v>
      </c>
      <c r="P31" s="263">
        <f t="shared" si="4"/>
        <v>0</v>
      </c>
    </row>
    <row r="32" spans="1:16" s="176" customFormat="1" ht="30" x14ac:dyDescent="0.25">
      <c r="A32" s="219">
        <v>2</v>
      </c>
      <c r="B32" s="178" t="s">
        <v>23</v>
      </c>
      <c r="D32" s="198">
        <v>0</v>
      </c>
      <c r="E32" s="196"/>
      <c r="F32" s="196"/>
      <c r="G32" s="196"/>
      <c r="H32" s="196">
        <v>140000</v>
      </c>
      <c r="I32" s="196">
        <v>280000</v>
      </c>
      <c r="J32" s="196">
        <v>280000</v>
      </c>
      <c r="K32" s="256">
        <f>'Ejecución 2021'!Q165</f>
        <v>0</v>
      </c>
      <c r="L32" s="256">
        <f>'Ejecución 2021'!R165</f>
        <v>0</v>
      </c>
      <c r="M32" s="256">
        <f>'Ejecución 2021'!S165</f>
        <v>194087.52</v>
      </c>
      <c r="N32" s="256">
        <f>'Ejecución 2021'!T165</f>
        <v>383068</v>
      </c>
      <c r="O32" s="256">
        <f>'Ejecución 2021'!U165</f>
        <v>380000</v>
      </c>
      <c r="P32" s="263">
        <f>SUM(E32:M32)</f>
        <v>894087.52</v>
      </c>
    </row>
    <row r="33" spans="1:16" s="176" customFormat="1" ht="45" x14ac:dyDescent="0.25">
      <c r="A33" s="219">
        <v>2</v>
      </c>
      <c r="B33" s="178" t="s">
        <v>42</v>
      </c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63">
        <f t="shared" si="4"/>
        <v>0</v>
      </c>
    </row>
    <row r="34" spans="1:16" s="176" customFormat="1" x14ac:dyDescent="0.25">
      <c r="A34" s="219">
        <v>2</v>
      </c>
      <c r="B34" s="178" t="s">
        <v>24</v>
      </c>
      <c r="D34" s="198">
        <v>0</v>
      </c>
      <c r="E34" s="196"/>
      <c r="F34" s="196">
        <v>2832</v>
      </c>
      <c r="G34" s="196">
        <v>6136</v>
      </c>
      <c r="H34" s="196">
        <v>3988.4</v>
      </c>
      <c r="I34" s="196"/>
      <c r="J34" s="256">
        <f>74764.8+6136+8500.72</f>
        <v>89401.52</v>
      </c>
      <c r="K34" s="256">
        <f>'Ejecución 2021'!Q176</f>
        <v>10651.119999999999</v>
      </c>
      <c r="L34" s="256">
        <f>'Ejecución 2021'!R176</f>
        <v>15517</v>
      </c>
      <c r="M34" s="256">
        <f>'Ejecución 2021'!S176</f>
        <v>59149.649999999994</v>
      </c>
      <c r="N34" s="256">
        <f>'Ejecución 2021'!T176</f>
        <v>101528.2</v>
      </c>
      <c r="O34" s="256">
        <f>'Ejecución 2021'!U176</f>
        <v>104495.18000000001</v>
      </c>
      <c r="P34" s="263">
        <f>SUM(D34:O34)</f>
        <v>393699.07</v>
      </c>
    </row>
    <row r="35" spans="1:16" s="231" customFormat="1" x14ac:dyDescent="0.25">
      <c r="A35" s="232">
        <v>1</v>
      </c>
      <c r="B35" s="233" t="s">
        <v>25</v>
      </c>
      <c r="D35" s="260">
        <f>+D36+D37+D38+D40+D41+D42</f>
        <v>0</v>
      </c>
      <c r="E35" s="261">
        <f t="shared" ref="E35:M35" si="6">+E36+E37+E38+E40+E41+E42</f>
        <v>0</v>
      </c>
      <c r="F35" s="261">
        <f t="shared" si="6"/>
        <v>0</v>
      </c>
      <c r="G35" s="261">
        <f t="shared" si="6"/>
        <v>0</v>
      </c>
      <c r="H35" s="261">
        <f t="shared" si="6"/>
        <v>0</v>
      </c>
      <c r="I35" s="261">
        <f t="shared" si="6"/>
        <v>0</v>
      </c>
      <c r="J35" s="261">
        <f t="shared" si="6"/>
        <v>0</v>
      </c>
      <c r="K35" s="261">
        <f t="shared" si="6"/>
        <v>0</v>
      </c>
      <c r="L35" s="261">
        <f t="shared" si="6"/>
        <v>0</v>
      </c>
      <c r="M35" s="261">
        <f t="shared" si="6"/>
        <v>0</v>
      </c>
      <c r="N35" s="239">
        <v>0</v>
      </c>
      <c r="O35" s="239">
        <v>0</v>
      </c>
      <c r="P35" s="265">
        <f t="shared" ref="P35" si="7">+P36+P37+P38+P40+P41+P42</f>
        <v>0</v>
      </c>
    </row>
    <row r="36" spans="1:16" s="176" customFormat="1" ht="30" x14ac:dyDescent="0.25">
      <c r="A36" s="219">
        <v>2</v>
      </c>
      <c r="B36" s="178" t="s">
        <v>26</v>
      </c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63">
        <f>SUM(D36:M36)</f>
        <v>0</v>
      </c>
    </row>
    <row r="37" spans="1:16" s="176" customFormat="1" ht="30" x14ac:dyDescent="0.25">
      <c r="A37" s="219">
        <v>2</v>
      </c>
      <c r="B37" s="178" t="s">
        <v>43</v>
      </c>
      <c r="D37" s="198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263">
        <f t="shared" si="4"/>
        <v>0</v>
      </c>
    </row>
    <row r="38" spans="1:16" s="176" customFormat="1" ht="30" x14ac:dyDescent="0.25">
      <c r="A38" s="219">
        <v>2</v>
      </c>
      <c r="B38" s="178" t="s">
        <v>44</v>
      </c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263">
        <f>SUM(D38:M38)</f>
        <v>0</v>
      </c>
    </row>
    <row r="39" spans="1:16" s="176" customFormat="1" ht="30" x14ac:dyDescent="0.25">
      <c r="A39" s="219">
        <v>2</v>
      </c>
      <c r="B39" s="178" t="s">
        <v>45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263">
        <f t="shared" si="4"/>
        <v>0</v>
      </c>
    </row>
    <row r="40" spans="1:16" s="176" customFormat="1" ht="30" x14ac:dyDescent="0.25">
      <c r="A40" s="219">
        <v>2</v>
      </c>
      <c r="B40" s="178" t="s">
        <v>46</v>
      </c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263">
        <f t="shared" si="4"/>
        <v>0</v>
      </c>
    </row>
    <row r="41" spans="1:16" s="176" customFormat="1" ht="30" x14ac:dyDescent="0.25">
      <c r="A41" s="219">
        <v>2</v>
      </c>
      <c r="B41" s="178" t="s">
        <v>27</v>
      </c>
      <c r="D41" s="198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263">
        <f t="shared" si="4"/>
        <v>0</v>
      </c>
    </row>
    <row r="42" spans="1:16" s="176" customFormat="1" ht="30" x14ac:dyDescent="0.25">
      <c r="A42" s="219">
        <v>2</v>
      </c>
      <c r="B42" s="178" t="s">
        <v>47</v>
      </c>
      <c r="D42" s="198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263">
        <f t="shared" si="4"/>
        <v>0</v>
      </c>
    </row>
    <row r="43" spans="1:16" s="231" customFormat="1" x14ac:dyDescent="0.25">
      <c r="A43" s="232">
        <v>1</v>
      </c>
      <c r="B43" s="233" t="s">
        <v>48</v>
      </c>
      <c r="D43" s="260">
        <f>+D44+D45+D46+D47+D48+D49+D50</f>
        <v>0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63">
        <f t="shared" si="4"/>
        <v>0</v>
      </c>
    </row>
    <row r="44" spans="1:16" s="176" customFormat="1" ht="30" x14ac:dyDescent="0.25">
      <c r="A44" s="219">
        <v>2</v>
      </c>
      <c r="B44" s="178" t="s">
        <v>49</v>
      </c>
      <c r="D44" s="19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63">
        <f t="shared" si="4"/>
        <v>0</v>
      </c>
    </row>
    <row r="45" spans="1:16" s="176" customFormat="1" ht="30" x14ac:dyDescent="0.25">
      <c r="A45" s="219">
        <v>2</v>
      </c>
      <c r="B45" s="178" t="s">
        <v>50</v>
      </c>
      <c r="D45" s="198">
        <v>0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63">
        <f t="shared" si="4"/>
        <v>0</v>
      </c>
    </row>
    <row r="46" spans="1:16" s="176" customFormat="1" ht="30" x14ac:dyDescent="0.25">
      <c r="A46" s="219">
        <v>2</v>
      </c>
      <c r="B46" s="178" t="s">
        <v>51</v>
      </c>
      <c r="D46" s="198">
        <v>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63">
        <f t="shared" si="4"/>
        <v>0</v>
      </c>
    </row>
    <row r="47" spans="1:16" s="176" customFormat="1" ht="30" x14ac:dyDescent="0.25">
      <c r="A47" s="219">
        <v>2</v>
      </c>
      <c r="B47" s="178" t="s">
        <v>52</v>
      </c>
      <c r="D47" s="198">
        <v>0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263">
        <f t="shared" si="4"/>
        <v>0</v>
      </c>
    </row>
    <row r="48" spans="1:16" s="176" customFormat="1" ht="30" x14ac:dyDescent="0.25">
      <c r="A48" s="219">
        <v>2</v>
      </c>
      <c r="B48" s="178" t="s">
        <v>53</v>
      </c>
      <c r="D48" s="198">
        <v>0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263">
        <f t="shared" si="4"/>
        <v>0</v>
      </c>
    </row>
    <row r="49" spans="1:19" s="176" customFormat="1" ht="30" x14ac:dyDescent="0.25">
      <c r="A49" s="219">
        <v>2</v>
      </c>
      <c r="B49" s="178" t="s">
        <v>54</v>
      </c>
      <c r="D49" s="198">
        <v>0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263">
        <f t="shared" si="4"/>
        <v>0</v>
      </c>
    </row>
    <row r="50" spans="1:19" s="176" customFormat="1" ht="30" x14ac:dyDescent="0.25">
      <c r="A50" s="219">
        <v>2</v>
      </c>
      <c r="B50" s="178" t="s">
        <v>55</v>
      </c>
      <c r="D50" s="195">
        <v>0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263">
        <f t="shared" si="4"/>
        <v>0</v>
      </c>
    </row>
    <row r="51" spans="1:19" s="231" customFormat="1" ht="30" x14ac:dyDescent="0.25">
      <c r="A51" s="232">
        <v>1</v>
      </c>
      <c r="B51" s="233" t="s">
        <v>28</v>
      </c>
      <c r="D51" s="259">
        <f>+D52+D53+D54+D55+D56+D57+D58+D59+D60</f>
        <v>0</v>
      </c>
      <c r="E51" s="261">
        <f t="shared" ref="E51:O51" si="8">+E52+E53+E54+E55+E56+E57+E58+E59+E60</f>
        <v>0</v>
      </c>
      <c r="F51" s="261">
        <f t="shared" si="8"/>
        <v>0</v>
      </c>
      <c r="G51" s="261">
        <f>+G52+G53+G54+G55+H57+G57+G58+G59+G60</f>
        <v>0</v>
      </c>
      <c r="H51" s="261">
        <f t="shared" ref="H51:I51" si="9">+H52+H53+H54+H55+I57+H57+H58+H59+H60</f>
        <v>0</v>
      </c>
      <c r="I51" s="261">
        <f t="shared" si="9"/>
        <v>0</v>
      </c>
      <c r="J51" s="258">
        <f t="shared" si="8"/>
        <v>124624.52</v>
      </c>
      <c r="K51" s="258">
        <f t="shared" si="8"/>
        <v>49465.599999999999</v>
      </c>
      <c r="L51" s="258">
        <f t="shared" si="8"/>
        <v>97468</v>
      </c>
      <c r="M51" s="258">
        <f>+M52+M53+M54+M55+M56+M57+M58+M59+M60</f>
        <v>94400</v>
      </c>
      <c r="N51" s="261">
        <f t="shared" si="8"/>
        <v>166930.18</v>
      </c>
      <c r="O51" s="261">
        <f t="shared" si="8"/>
        <v>86027.9</v>
      </c>
      <c r="P51" s="264">
        <f>+P52+P56+P54</f>
        <v>469686.02</v>
      </c>
      <c r="Q51" s="241" t="s">
        <v>113</v>
      </c>
      <c r="R51" s="242" t="s">
        <v>113</v>
      </c>
      <c r="S51" s="242" t="s">
        <v>113</v>
      </c>
    </row>
    <row r="52" spans="1:19" s="176" customFormat="1" x14ac:dyDescent="0.25">
      <c r="A52" s="219">
        <v>2</v>
      </c>
      <c r="B52" s="178" t="s">
        <v>29</v>
      </c>
      <c r="D52" s="195"/>
      <c r="E52" s="199"/>
      <c r="F52" s="196"/>
      <c r="G52" s="196"/>
      <c r="H52" s="196"/>
      <c r="I52" s="196"/>
      <c r="J52" s="196">
        <v>124624.52</v>
      </c>
      <c r="K52" s="256">
        <f>'Ejecución 2021'!Q204</f>
        <v>49465.599999999999</v>
      </c>
      <c r="L52" s="256">
        <f>'Ejecución 2021'!R204</f>
        <v>97468</v>
      </c>
      <c r="M52" s="256">
        <f>'Ejecución 2021'!S204</f>
        <v>0</v>
      </c>
      <c r="N52" s="256">
        <f>'Ejecución 2021'!T204</f>
        <v>17700</v>
      </c>
      <c r="O52" s="256">
        <f>'Ejecución 2021'!U204</f>
        <v>86027.9</v>
      </c>
      <c r="P52" s="263">
        <f>SUM(D52:O52)</f>
        <v>375286.02</v>
      </c>
    </row>
    <row r="53" spans="1:19" s="176" customFormat="1" ht="30" x14ac:dyDescent="0.25">
      <c r="A53" s="219">
        <v>2</v>
      </c>
      <c r="B53" s="178" t="s">
        <v>30</v>
      </c>
      <c r="D53" s="198"/>
      <c r="E53" s="199"/>
      <c r="F53" s="196"/>
      <c r="G53" s="196"/>
      <c r="H53" s="196"/>
      <c r="I53" s="196"/>
      <c r="J53" s="196"/>
      <c r="K53" s="256">
        <f>'Ejecución 2021'!Q211</f>
        <v>0</v>
      </c>
      <c r="L53" s="256">
        <f>'Ejecución 2021'!R211</f>
        <v>0</v>
      </c>
      <c r="M53" s="256">
        <f>'Ejecución 2021'!S211</f>
        <v>0</v>
      </c>
      <c r="N53" s="256">
        <f>'Ejecución 2021'!T211</f>
        <v>0</v>
      </c>
      <c r="O53" s="256">
        <f>'Ejecución 2021'!U211</f>
        <v>0</v>
      </c>
      <c r="P53" s="263">
        <f t="shared" si="4"/>
        <v>0</v>
      </c>
    </row>
    <row r="54" spans="1:19" s="176" customFormat="1" ht="30" x14ac:dyDescent="0.25">
      <c r="A54" s="219">
        <v>2</v>
      </c>
      <c r="B54" s="178" t="s">
        <v>31</v>
      </c>
      <c r="D54" s="198"/>
      <c r="E54" s="199"/>
      <c r="F54" s="199"/>
      <c r="G54" s="199"/>
      <c r="H54" s="199"/>
      <c r="I54" s="196"/>
      <c r="J54" s="199"/>
      <c r="K54" s="196"/>
      <c r="L54" s="196"/>
      <c r="M54" s="196"/>
      <c r="N54" s="196"/>
      <c r="O54" s="196"/>
      <c r="P54" s="263">
        <f t="shared" si="4"/>
        <v>0</v>
      </c>
    </row>
    <row r="55" spans="1:19" s="176" customFormat="1" ht="30" x14ac:dyDescent="0.25">
      <c r="A55" s="219">
        <v>2</v>
      </c>
      <c r="B55" s="178" t="s">
        <v>32</v>
      </c>
      <c r="D55" s="198"/>
      <c r="E55" s="199"/>
      <c r="F55" s="199"/>
      <c r="G55" s="199"/>
      <c r="H55" s="199"/>
      <c r="I55" s="199"/>
      <c r="J55" s="199"/>
      <c r="K55" s="196"/>
      <c r="L55" s="196"/>
      <c r="M55" s="196"/>
      <c r="N55" s="196"/>
      <c r="O55" s="196"/>
      <c r="P55" s="263">
        <f t="shared" si="4"/>
        <v>0</v>
      </c>
    </row>
    <row r="56" spans="1:19" s="176" customFormat="1" ht="30" x14ac:dyDescent="0.25">
      <c r="A56" s="219">
        <v>2</v>
      </c>
      <c r="B56" s="178" t="s">
        <v>33</v>
      </c>
      <c r="D56" s="198"/>
      <c r="E56" s="199"/>
      <c r="F56" s="196"/>
      <c r="G56" s="196"/>
      <c r="H56" s="196"/>
      <c r="I56" s="196"/>
      <c r="J56" s="196"/>
      <c r="K56" s="256">
        <f>'Ejecución 2021'!Q214</f>
        <v>0</v>
      </c>
      <c r="L56" s="256">
        <f>'Ejecución 2021'!R214</f>
        <v>0</v>
      </c>
      <c r="M56" s="256">
        <f>'Ejecución 2021'!S214</f>
        <v>94400</v>
      </c>
      <c r="N56" s="256">
        <f>'Ejecución 2021'!T214</f>
        <v>19824</v>
      </c>
      <c r="O56" s="256">
        <f>'Ejecución 2021'!U214</f>
        <v>0</v>
      </c>
      <c r="P56" s="263">
        <f t="shared" si="4"/>
        <v>94400</v>
      </c>
    </row>
    <row r="57" spans="1:19" s="176" customFormat="1" ht="30" x14ac:dyDescent="0.25">
      <c r="A57" s="219">
        <v>2</v>
      </c>
      <c r="B57" s="178" t="s">
        <v>56</v>
      </c>
      <c r="D57" s="198"/>
      <c r="E57" s="199"/>
      <c r="F57" s="196"/>
      <c r="G57" s="196"/>
      <c r="H57" s="196"/>
      <c r="I57" s="196"/>
      <c r="J57" s="196"/>
      <c r="K57" s="256">
        <f>'Ejecución 2021'!Q219</f>
        <v>0</v>
      </c>
      <c r="L57" s="256">
        <f>'Ejecución 2021'!R219</f>
        <v>0</v>
      </c>
      <c r="M57" s="256">
        <f>'Ejecución 2021'!S219</f>
        <v>0</v>
      </c>
      <c r="N57" s="256">
        <f>'Ejecución 2021'!T219</f>
        <v>129406.18</v>
      </c>
      <c r="O57" s="256">
        <f>'Ejecución 2021'!U219</f>
        <v>0</v>
      </c>
      <c r="P57" s="263">
        <f t="shared" si="4"/>
        <v>0</v>
      </c>
    </row>
    <row r="58" spans="1:19" s="176" customFormat="1" ht="30" x14ac:dyDescent="0.25">
      <c r="A58" s="219">
        <v>2</v>
      </c>
      <c r="B58" s="178" t="s">
        <v>57</v>
      </c>
      <c r="D58" s="198"/>
      <c r="E58" s="199"/>
      <c r="F58" s="199"/>
      <c r="G58" s="199"/>
      <c r="H58" s="199"/>
      <c r="I58" s="199"/>
      <c r="J58" s="199"/>
      <c r="K58" s="196"/>
      <c r="L58" s="196"/>
      <c r="M58" s="196"/>
      <c r="N58" s="196"/>
      <c r="O58" s="196"/>
      <c r="P58" s="263">
        <f t="shared" si="4"/>
        <v>0</v>
      </c>
    </row>
    <row r="59" spans="1:19" s="176" customFormat="1" x14ac:dyDescent="0.25">
      <c r="A59" s="219">
        <v>2</v>
      </c>
      <c r="B59" s="178" t="s">
        <v>34</v>
      </c>
      <c r="D59" s="198"/>
      <c r="E59" s="199"/>
      <c r="F59" s="199"/>
      <c r="G59" s="199"/>
      <c r="H59" s="199"/>
      <c r="I59" s="199"/>
      <c r="J59" s="199"/>
      <c r="K59" s="256">
        <f>'Ejecución 2021'!Q222</f>
        <v>0</v>
      </c>
      <c r="L59" s="256">
        <f>'Ejecución 2021'!R222</f>
        <v>0</v>
      </c>
      <c r="M59" s="256">
        <f>'Ejecución 2021'!S222</f>
        <v>0</v>
      </c>
      <c r="N59" s="256">
        <f>'Ejecución 2021'!T222</f>
        <v>0</v>
      </c>
      <c r="O59" s="256">
        <f>'Ejecución 2021'!U222</f>
        <v>0</v>
      </c>
      <c r="P59" s="256">
        <f>'Ejecución 2021'!V222</f>
        <v>0</v>
      </c>
    </row>
    <row r="60" spans="1:19" s="176" customFormat="1" ht="45" x14ac:dyDescent="0.25">
      <c r="A60" s="219">
        <v>2</v>
      </c>
      <c r="B60" s="178" t="s">
        <v>58</v>
      </c>
      <c r="D60" s="198"/>
      <c r="E60" s="199"/>
      <c r="F60" s="199"/>
      <c r="G60" s="199"/>
      <c r="H60" s="199"/>
      <c r="I60" s="199"/>
      <c r="J60" s="199"/>
      <c r="K60" s="196"/>
      <c r="L60" s="196"/>
      <c r="M60" s="196"/>
      <c r="N60" s="196"/>
      <c r="O60" s="256">
        <f>'Ejecución 2021'!U223</f>
        <v>0</v>
      </c>
      <c r="P60" s="256">
        <f>'Ejecución 2021'!V223</f>
        <v>0</v>
      </c>
    </row>
    <row r="61" spans="1:19" s="231" customFormat="1" x14ac:dyDescent="0.25">
      <c r="A61" s="232">
        <v>1</v>
      </c>
      <c r="B61" s="233" t="s">
        <v>59</v>
      </c>
      <c r="D61" s="238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63">
        <f t="shared" si="4"/>
        <v>0</v>
      </c>
    </row>
    <row r="62" spans="1:19" s="176" customFormat="1" x14ac:dyDescent="0.25">
      <c r="A62" s="219">
        <v>2</v>
      </c>
      <c r="B62" s="178" t="s">
        <v>60</v>
      </c>
      <c r="D62" s="198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263">
        <f t="shared" si="4"/>
        <v>0</v>
      </c>
    </row>
    <row r="63" spans="1:19" s="176" customFormat="1" x14ac:dyDescent="0.25">
      <c r="A63" s="219">
        <v>2</v>
      </c>
      <c r="B63" s="178" t="s">
        <v>61</v>
      </c>
      <c r="D63" s="198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263">
        <f t="shared" si="4"/>
        <v>0</v>
      </c>
    </row>
    <row r="64" spans="1:19" s="176" customFormat="1" ht="30" x14ac:dyDescent="0.25">
      <c r="A64" s="219">
        <v>2</v>
      </c>
      <c r="B64" s="178" t="s">
        <v>62</v>
      </c>
      <c r="D64" s="198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263">
        <f t="shared" si="4"/>
        <v>0</v>
      </c>
    </row>
    <row r="65" spans="1:19" s="176" customFormat="1" ht="45" x14ac:dyDescent="0.25">
      <c r="A65" s="219">
        <v>2</v>
      </c>
      <c r="B65" s="178" t="s">
        <v>63</v>
      </c>
      <c r="D65" s="198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263">
        <f t="shared" si="4"/>
        <v>0</v>
      </c>
    </row>
    <row r="66" spans="1:19" s="231" customFormat="1" ht="30" x14ac:dyDescent="0.25">
      <c r="A66" s="232">
        <v>1</v>
      </c>
      <c r="B66" s="233" t="s">
        <v>64</v>
      </c>
      <c r="D66" s="260">
        <f>+D67+D68</f>
        <v>0</v>
      </c>
      <c r="E66" s="261">
        <f t="shared" ref="E66:P66" si="10">+E67+E68</f>
        <v>0</v>
      </c>
      <c r="F66" s="261">
        <f t="shared" si="10"/>
        <v>0</v>
      </c>
      <c r="G66" s="261">
        <f t="shared" si="10"/>
        <v>0</v>
      </c>
      <c r="H66" s="261">
        <f t="shared" si="10"/>
        <v>0</v>
      </c>
      <c r="I66" s="261">
        <f t="shared" si="10"/>
        <v>0</v>
      </c>
      <c r="J66" s="261">
        <f t="shared" si="10"/>
        <v>0</v>
      </c>
      <c r="K66" s="261">
        <f t="shared" si="10"/>
        <v>0</v>
      </c>
      <c r="L66" s="261">
        <f t="shared" si="10"/>
        <v>0</v>
      </c>
      <c r="M66" s="261">
        <f t="shared" si="10"/>
        <v>0</v>
      </c>
      <c r="N66" s="239">
        <v>0</v>
      </c>
      <c r="O66" s="239">
        <v>0</v>
      </c>
      <c r="P66" s="265">
        <f t="shared" si="10"/>
        <v>0</v>
      </c>
      <c r="R66" s="242"/>
      <c r="S66" s="242"/>
    </row>
    <row r="67" spans="1:19" s="176" customFormat="1" x14ac:dyDescent="0.25">
      <c r="A67" s="219">
        <v>2</v>
      </c>
      <c r="B67" s="178" t="s">
        <v>65</v>
      </c>
      <c r="D67" s="198">
        <v>0</v>
      </c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263">
        <f t="shared" si="4"/>
        <v>0</v>
      </c>
    </row>
    <row r="68" spans="1:19" s="176" customFormat="1" ht="30" x14ac:dyDescent="0.25">
      <c r="A68" s="219">
        <v>2</v>
      </c>
      <c r="B68" s="178" t="s">
        <v>66</v>
      </c>
      <c r="D68" s="195">
        <v>0</v>
      </c>
      <c r="E68" s="196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263">
        <f t="shared" si="4"/>
        <v>0</v>
      </c>
    </row>
    <row r="69" spans="1:19" s="231" customFormat="1" x14ac:dyDescent="0.25">
      <c r="A69" s="232">
        <v>1</v>
      </c>
      <c r="B69" s="233" t="s">
        <v>67</v>
      </c>
      <c r="D69" s="236"/>
      <c r="E69" s="258">
        <f t="shared" ref="E69:I69" si="11">+E70+E71+E72</f>
        <v>0</v>
      </c>
      <c r="F69" s="258">
        <f t="shared" si="11"/>
        <v>0</v>
      </c>
      <c r="G69" s="258">
        <f t="shared" si="11"/>
        <v>0</v>
      </c>
      <c r="H69" s="258">
        <f t="shared" si="11"/>
        <v>0</v>
      </c>
      <c r="I69" s="258">
        <f t="shared" si="11"/>
        <v>0</v>
      </c>
      <c r="J69" s="258">
        <f>+J70+J71+J72</f>
        <v>0</v>
      </c>
      <c r="K69" s="258">
        <f t="shared" ref="K69:P69" si="12">+K70+K71+K72</f>
        <v>0</v>
      </c>
      <c r="L69" s="258">
        <f t="shared" si="12"/>
        <v>0</v>
      </c>
      <c r="M69" s="258">
        <f t="shared" si="12"/>
        <v>0</v>
      </c>
      <c r="N69" s="237">
        <v>0</v>
      </c>
      <c r="O69" s="237">
        <v>0</v>
      </c>
      <c r="P69" s="264">
        <f t="shared" si="12"/>
        <v>0</v>
      </c>
    </row>
    <row r="70" spans="1:19" s="176" customFormat="1" ht="30" x14ac:dyDescent="0.25">
      <c r="A70" s="219">
        <v>2</v>
      </c>
      <c r="B70" s="178" t="s">
        <v>68</v>
      </c>
      <c r="D70" s="195">
        <v>0</v>
      </c>
      <c r="E70" s="196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263">
        <f t="shared" si="4"/>
        <v>0</v>
      </c>
    </row>
    <row r="71" spans="1:19" s="176" customFormat="1" ht="30" x14ac:dyDescent="0.25">
      <c r="A71" s="219">
        <v>2</v>
      </c>
      <c r="B71" s="178" t="s">
        <v>69</v>
      </c>
      <c r="D71" s="195">
        <v>0</v>
      </c>
      <c r="E71" s="196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263">
        <f t="shared" si="4"/>
        <v>0</v>
      </c>
    </row>
    <row r="72" spans="1:19" s="176" customFormat="1" ht="30" x14ac:dyDescent="0.25">
      <c r="A72" s="219">
        <v>2</v>
      </c>
      <c r="B72" s="178" t="s">
        <v>70</v>
      </c>
      <c r="D72" s="195">
        <v>0</v>
      </c>
      <c r="E72" s="196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263">
        <f t="shared" si="4"/>
        <v>0</v>
      </c>
    </row>
    <row r="73" spans="1:19" s="176" customFormat="1" x14ac:dyDescent="0.25">
      <c r="A73" s="219"/>
      <c r="B73" s="183" t="s">
        <v>35</v>
      </c>
      <c r="C73" s="184"/>
      <c r="D73" s="207">
        <f>+D9+D15+D25+D35</f>
        <v>3619243.8499999996</v>
      </c>
      <c r="E73" s="208">
        <f>+E9+E15+E25+E35+E51</f>
        <v>3716086.6499999994</v>
      </c>
      <c r="F73" s="208">
        <f>+F9+F15+F25+F35+F51</f>
        <v>3763671.3599999994</v>
      </c>
      <c r="G73" s="208">
        <f>+G9+G15+G25+G35+G51</f>
        <v>3808391.82</v>
      </c>
      <c r="H73" s="208">
        <f>+H9+H15+H25+H35+H51</f>
        <v>3776104.8</v>
      </c>
      <c r="I73" s="209">
        <f t="shared" ref="I73:O73" si="13">+I9+I15+I25+I51+I66+I69</f>
        <v>3975946.1999999997</v>
      </c>
      <c r="J73" s="209">
        <f>J9+J15+J25+J51</f>
        <v>4450346.0530000003</v>
      </c>
      <c r="K73" s="209">
        <f>K9+K15+K25+K51+K24</f>
        <v>4320961.7399999993</v>
      </c>
      <c r="L73" s="209">
        <f>L9+L15+L25+L51</f>
        <v>4040924.19</v>
      </c>
      <c r="M73" s="209">
        <f>+M9+M15+M25+M51+M66+M69</f>
        <v>3939491.3200000003</v>
      </c>
      <c r="N73" s="209">
        <f t="shared" si="13"/>
        <v>10128456.719999999</v>
      </c>
      <c r="O73" s="209">
        <f t="shared" si="13"/>
        <v>4611644.53</v>
      </c>
      <c r="P73" s="210">
        <f>+P9+P15+P25+P27+P51+P59+P66+P69</f>
        <v>52914809.072999999</v>
      </c>
    </row>
    <row r="74" spans="1:19" s="176" customFormat="1" x14ac:dyDescent="0.25">
      <c r="A74" s="219"/>
      <c r="B74" s="185"/>
      <c r="D74" s="186"/>
      <c r="J74" s="175"/>
      <c r="K74" s="176" t="s">
        <v>113</v>
      </c>
      <c r="L74" s="176" t="s">
        <v>113</v>
      </c>
      <c r="M74" s="187"/>
      <c r="P74" s="187" t="s">
        <v>113</v>
      </c>
    </row>
    <row r="75" spans="1:19" s="176" customFormat="1" x14ac:dyDescent="0.25">
      <c r="A75" s="219"/>
      <c r="B75" s="188" t="s">
        <v>71</v>
      </c>
      <c r="C75" s="189"/>
      <c r="D75" s="189"/>
      <c r="E75" s="189"/>
      <c r="F75" s="189">
        <v>0</v>
      </c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9" s="176" customFormat="1" ht="30" x14ac:dyDescent="0.25">
      <c r="A76" s="219"/>
      <c r="B76" s="174" t="s">
        <v>72</v>
      </c>
      <c r="D76" s="181"/>
      <c r="F76" s="187">
        <v>0</v>
      </c>
      <c r="M76" s="187">
        <f>M73-3939491.32</f>
        <v>0</v>
      </c>
      <c r="N76" s="189"/>
    </row>
    <row r="77" spans="1:19" customFormat="1" ht="30" x14ac:dyDescent="0.25">
      <c r="A77" s="219"/>
      <c r="B77" s="8" t="s">
        <v>73</v>
      </c>
      <c r="D77" s="6"/>
      <c r="J77" s="20">
        <v>0</v>
      </c>
      <c r="K77" s="43"/>
      <c r="N77" s="2"/>
    </row>
    <row r="78" spans="1:19" customFormat="1" ht="30" x14ac:dyDescent="0.25">
      <c r="A78" s="219"/>
      <c r="B78" s="8" t="s">
        <v>74</v>
      </c>
      <c r="D78" s="6"/>
      <c r="K78" s="43"/>
    </row>
    <row r="79" spans="1:19" customFormat="1" x14ac:dyDescent="0.25">
      <c r="A79" s="219"/>
      <c r="B79" s="3" t="s">
        <v>75</v>
      </c>
      <c r="D79" s="4"/>
      <c r="K79" s="43"/>
    </row>
    <row r="80" spans="1:19" customFormat="1" ht="30" x14ac:dyDescent="0.25">
      <c r="A80" s="219"/>
      <c r="B80" s="8" t="s">
        <v>76</v>
      </c>
      <c r="D80" s="6"/>
      <c r="K80" s="43"/>
    </row>
    <row r="81" spans="1:16" customFormat="1" ht="30" x14ac:dyDescent="0.25">
      <c r="A81" s="219"/>
      <c r="B81" s="8" t="s">
        <v>77</v>
      </c>
      <c r="D81" s="6"/>
      <c r="K81" s="43"/>
    </row>
    <row r="82" spans="1:16" customFormat="1" ht="30" x14ac:dyDescent="0.25">
      <c r="A82" s="219"/>
      <c r="B82" s="3" t="s">
        <v>78</v>
      </c>
      <c r="D82" s="4"/>
      <c r="K82" s="43"/>
    </row>
    <row r="83" spans="1:16" customFormat="1" ht="30" x14ac:dyDescent="0.25">
      <c r="A83" s="219"/>
      <c r="B83" s="8" t="s">
        <v>79</v>
      </c>
      <c r="D83" s="6"/>
      <c r="K83" s="43"/>
    </row>
    <row r="84" spans="1:16" customFormat="1" x14ac:dyDescent="0.25">
      <c r="A84" s="219"/>
      <c r="B84" s="10" t="s">
        <v>80</v>
      </c>
      <c r="C84" s="7"/>
      <c r="D84" s="29">
        <f>+D73</f>
        <v>3619243.8499999996</v>
      </c>
      <c r="E84" s="29">
        <f>+E73</f>
        <v>3716086.6499999994</v>
      </c>
      <c r="F84" s="29">
        <f>+F73</f>
        <v>3763671.3599999994</v>
      </c>
      <c r="G84" s="29">
        <f t="shared" ref="G84:P84" si="14">+G73</f>
        <v>3808391.82</v>
      </c>
      <c r="H84" s="29">
        <f t="shared" si="14"/>
        <v>3776104.8</v>
      </c>
      <c r="I84" s="29">
        <f>+I73</f>
        <v>3975946.1999999997</v>
      </c>
      <c r="J84" s="29">
        <f t="shared" si="14"/>
        <v>4450346.0530000003</v>
      </c>
      <c r="K84" s="29">
        <f>+K73</f>
        <v>4320961.7399999993</v>
      </c>
      <c r="L84" s="29">
        <f t="shared" si="14"/>
        <v>4040924.19</v>
      </c>
      <c r="M84" s="29">
        <f t="shared" si="14"/>
        <v>3939491.3200000003</v>
      </c>
      <c r="N84" s="29">
        <f t="shared" si="14"/>
        <v>10128456.719999999</v>
      </c>
      <c r="O84" s="29">
        <f t="shared" si="14"/>
        <v>4611644.53</v>
      </c>
      <c r="P84" s="29">
        <f t="shared" si="14"/>
        <v>52914809.072999999</v>
      </c>
    </row>
    <row r="85" spans="1:16" x14ac:dyDescent="0.25">
      <c r="A85" s="232"/>
      <c r="K85" s="243"/>
    </row>
    <row r="86" spans="1:16" ht="31.5" x14ac:dyDescent="0.25">
      <c r="B86" s="244" t="s">
        <v>81</v>
      </c>
      <c r="C86" s="245"/>
      <c r="D86" s="246"/>
      <c r="E86" s="246"/>
      <c r="F86" s="245"/>
      <c r="G86" s="245"/>
      <c r="H86" s="245"/>
      <c r="I86" s="245"/>
      <c r="J86" s="245"/>
      <c r="K86" s="247"/>
      <c r="L86" s="245"/>
      <c r="M86" s="245"/>
      <c r="N86" s="245"/>
      <c r="O86" s="245"/>
      <c r="P86" s="245"/>
    </row>
    <row r="87" spans="1:16" ht="18.75" x14ac:dyDescent="0.3">
      <c r="B87" s="224" t="s">
        <v>92</v>
      </c>
      <c r="N87" s="248"/>
    </row>
    <row r="88" spans="1:16" x14ac:dyDescent="0.25">
      <c r="B88" s="225" t="s">
        <v>94</v>
      </c>
      <c r="L88" s="248"/>
      <c r="M88" s="248"/>
    </row>
    <row r="89" spans="1:16" x14ac:dyDescent="0.25">
      <c r="B89" s="225" t="s">
        <v>95</v>
      </c>
      <c r="O89" s="248"/>
    </row>
    <row r="90" spans="1:16" x14ac:dyDescent="0.25">
      <c r="B90" s="225" t="s">
        <v>93</v>
      </c>
      <c r="N90" s="248"/>
    </row>
    <row r="91" spans="1:16" x14ac:dyDescent="0.25">
      <c r="B91" s="225" t="s">
        <v>96</v>
      </c>
      <c r="J91" s="249"/>
    </row>
    <row r="92" spans="1:16" x14ac:dyDescent="0.25">
      <c r="B92" s="225" t="s">
        <v>97</v>
      </c>
    </row>
    <row r="93" spans="1:16" x14ac:dyDescent="0.25">
      <c r="B93" s="225"/>
      <c r="D93" s="223" t="s">
        <v>339</v>
      </c>
      <c r="E93" s="223" t="s">
        <v>339</v>
      </c>
      <c r="F93" s="223" t="s">
        <v>339</v>
      </c>
      <c r="G93" s="223" t="s">
        <v>339</v>
      </c>
      <c r="H93" s="223" t="s">
        <v>339</v>
      </c>
      <c r="I93" s="223" t="s">
        <v>339</v>
      </c>
      <c r="J93" s="223" t="s">
        <v>339</v>
      </c>
      <c r="K93" s="228" t="s">
        <v>339</v>
      </c>
      <c r="L93" s="223" t="s">
        <v>339</v>
      </c>
      <c r="M93" s="223" t="s">
        <v>339</v>
      </c>
    </row>
    <row r="95" spans="1:16" x14ac:dyDescent="0.25">
      <c r="B95" s="223" t="s">
        <v>340</v>
      </c>
      <c r="M95" s="223" t="s">
        <v>107</v>
      </c>
    </row>
    <row r="99" spans="2:15" x14ac:dyDescent="0.25">
      <c r="B99" s="223" t="s">
        <v>119</v>
      </c>
      <c r="D99" s="223" t="s">
        <v>339</v>
      </c>
      <c r="M99" s="223" t="s">
        <v>120</v>
      </c>
    </row>
    <row r="100" spans="2:15" x14ac:dyDescent="0.25">
      <c r="B100" s="250" t="s">
        <v>124</v>
      </c>
      <c r="M100" s="250" t="s">
        <v>342</v>
      </c>
    </row>
    <row r="101" spans="2:15" x14ac:dyDescent="0.25">
      <c r="B101" s="223" t="s">
        <v>125</v>
      </c>
      <c r="M101" s="223" t="s">
        <v>123</v>
      </c>
    </row>
    <row r="102" spans="2:15" x14ac:dyDescent="0.25">
      <c r="B102" s="223" t="s">
        <v>341</v>
      </c>
    </row>
    <row r="103" spans="2:15" x14ac:dyDescent="0.25">
      <c r="B103" s="223" t="s">
        <v>108</v>
      </c>
    </row>
    <row r="104" spans="2:15" x14ac:dyDescent="0.25">
      <c r="B104" s="223" t="s">
        <v>109</v>
      </c>
    </row>
    <row r="105" spans="2:15" x14ac:dyDescent="0.25">
      <c r="B105" s="223" t="s">
        <v>130</v>
      </c>
      <c r="G105" s="223" t="s">
        <v>131</v>
      </c>
    </row>
    <row r="106" spans="2:15" x14ac:dyDescent="0.25">
      <c r="B106" s="250" t="s">
        <v>128</v>
      </c>
      <c r="H106" s="250" t="s">
        <v>126</v>
      </c>
    </row>
    <row r="107" spans="2:15" x14ac:dyDescent="0.25">
      <c r="B107" s="223" t="s">
        <v>129</v>
      </c>
      <c r="H107" s="223" t="s">
        <v>127</v>
      </c>
    </row>
    <row r="108" spans="2:15" s="251" customFormat="1" x14ac:dyDescent="0.25">
      <c r="D108" s="266">
        <f t="shared" ref="D108:N108" si="15">IF(AND(E84&gt;0,D84&gt;=1),1,2)</f>
        <v>1</v>
      </c>
      <c r="E108" s="266">
        <f t="shared" si="15"/>
        <v>1</v>
      </c>
      <c r="F108" s="266">
        <f t="shared" si="15"/>
        <v>1</v>
      </c>
      <c r="G108" s="266">
        <f t="shared" si="15"/>
        <v>1</v>
      </c>
      <c r="H108" s="266">
        <f t="shared" si="15"/>
        <v>1</v>
      </c>
      <c r="I108" s="266">
        <f t="shared" si="15"/>
        <v>1</v>
      </c>
      <c r="J108" s="266">
        <f t="shared" si="15"/>
        <v>1</v>
      </c>
      <c r="K108" s="266">
        <f t="shared" si="15"/>
        <v>1</v>
      </c>
      <c r="L108" s="266">
        <f t="shared" si="15"/>
        <v>1</v>
      </c>
      <c r="M108" s="266">
        <f t="shared" si="15"/>
        <v>1</v>
      </c>
      <c r="N108" s="266">
        <f t="shared" si="15"/>
        <v>1</v>
      </c>
      <c r="O108" s="266">
        <f>IF(N84&gt;=1,2,1)</f>
        <v>2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ignoredErrors>
    <ignoredError sqref="P6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showGridLines="0" zoomScale="90" zoomScaleNormal="90" workbookViewId="0">
      <selection activeCell="C9" sqref="C9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4.140625" bestFit="1" customWidth="1"/>
  </cols>
  <sheetData>
    <row r="1" spans="1:5" ht="18.75" x14ac:dyDescent="0.3">
      <c r="A1" s="389" t="s">
        <v>104</v>
      </c>
      <c r="B1" s="389"/>
      <c r="C1" s="389"/>
      <c r="E1" s="9" t="s">
        <v>39</v>
      </c>
    </row>
    <row r="2" spans="1:5" ht="18.75" x14ac:dyDescent="0.25">
      <c r="A2" s="389" t="s">
        <v>105</v>
      </c>
      <c r="B2" s="389"/>
      <c r="C2" s="389"/>
      <c r="E2" s="16" t="s">
        <v>100</v>
      </c>
    </row>
    <row r="3" spans="1:5" ht="18.75" x14ac:dyDescent="0.25">
      <c r="A3" s="389" t="s">
        <v>335</v>
      </c>
      <c r="B3" s="389"/>
      <c r="C3" s="389"/>
      <c r="E3" s="16" t="s">
        <v>101</v>
      </c>
    </row>
    <row r="4" spans="1:5" ht="18.75" x14ac:dyDescent="0.3">
      <c r="A4" s="390" t="s">
        <v>336</v>
      </c>
      <c r="B4" s="390"/>
      <c r="C4" s="390"/>
      <c r="E4" s="9" t="s">
        <v>92</v>
      </c>
    </row>
    <row r="5" spans="1:5" x14ac:dyDescent="0.25">
      <c r="A5" s="394" t="s">
        <v>36</v>
      </c>
      <c r="B5" s="394"/>
      <c r="C5" s="394"/>
      <c r="E5" s="16" t="s">
        <v>98</v>
      </c>
    </row>
    <row r="6" spans="1:5" x14ac:dyDescent="0.25">
      <c r="E6" s="16" t="s">
        <v>99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21">
        <f>B9+B15+B25+B51</f>
        <v>64021984</v>
      </c>
      <c r="C8" s="21">
        <f>+C9+C15+C25+C51</f>
        <v>66679750.5</v>
      </c>
      <c r="D8" s="21"/>
    </row>
    <row r="9" spans="1:5" x14ac:dyDescent="0.25">
      <c r="A9" s="3" t="s">
        <v>2</v>
      </c>
      <c r="B9" s="45">
        <f>+B10+B11+B12+B14+B13</f>
        <v>40785263</v>
      </c>
      <c r="C9" s="45">
        <f>+C10+C11+C12+C14+C13</f>
        <v>43439516.5</v>
      </c>
    </row>
    <row r="10" spans="1:5" x14ac:dyDescent="0.25">
      <c r="A10" s="8" t="s">
        <v>3</v>
      </c>
      <c r="B10" s="44">
        <v>33632835</v>
      </c>
      <c r="C10" s="44">
        <f>33632835+2654253.5</f>
        <v>36287088.5</v>
      </c>
    </row>
    <row r="11" spans="1:5" x14ac:dyDescent="0.25">
      <c r="A11" s="8" t="s">
        <v>4</v>
      </c>
      <c r="B11" s="44">
        <v>1741000</v>
      </c>
      <c r="C11" s="44">
        <v>1741000</v>
      </c>
    </row>
    <row r="12" spans="1:5" x14ac:dyDescent="0.25">
      <c r="A12" s="8" t="s">
        <v>40</v>
      </c>
      <c r="B12" s="44">
        <v>367000</v>
      </c>
      <c r="C12" s="44">
        <v>367000</v>
      </c>
    </row>
    <row r="13" spans="1:5" x14ac:dyDescent="0.25">
      <c r="A13" s="8" t="s">
        <v>5</v>
      </c>
      <c r="B13" s="44">
        <v>0</v>
      </c>
      <c r="C13" s="46"/>
    </row>
    <row r="14" spans="1:5" x14ac:dyDescent="0.25">
      <c r="A14" s="8" t="s">
        <v>6</v>
      </c>
      <c r="B14" s="44">
        <v>5044428</v>
      </c>
      <c r="C14" s="44">
        <v>5044428</v>
      </c>
    </row>
    <row r="15" spans="1:5" x14ac:dyDescent="0.25">
      <c r="A15" s="3" t="s">
        <v>7</v>
      </c>
      <c r="B15" s="47">
        <f>SUM(B16:B24)</f>
        <v>12159725</v>
      </c>
      <c r="C15" s="47">
        <f>SUM(C16:C24)</f>
        <v>10865972</v>
      </c>
    </row>
    <row r="16" spans="1:5" ht="17.25" customHeight="1" x14ac:dyDescent="0.25">
      <c r="A16" s="8" t="s">
        <v>8</v>
      </c>
      <c r="B16" s="44">
        <v>1357350</v>
      </c>
      <c r="C16" s="44">
        <f>850000+130000+10000+30000+30000+175000+400000+7500+29850</f>
        <v>1662350</v>
      </c>
    </row>
    <row r="17" spans="1:3" x14ac:dyDescent="0.25">
      <c r="A17" s="8" t="s">
        <v>9</v>
      </c>
      <c r="B17" s="44">
        <v>550000</v>
      </c>
      <c r="C17" s="44">
        <f>550000-170000</f>
        <v>380000</v>
      </c>
    </row>
    <row r="18" spans="1:3" x14ac:dyDescent="0.25">
      <c r="A18" s="8" t="s">
        <v>10</v>
      </c>
      <c r="B18" s="44">
        <v>1890375</v>
      </c>
      <c r="C18" s="44">
        <f>1890375-770000</f>
        <v>1120375</v>
      </c>
    </row>
    <row r="19" spans="1:3" ht="18" customHeight="1" x14ac:dyDescent="0.25">
      <c r="A19" s="8" t="s">
        <v>11</v>
      </c>
      <c r="B19" s="44">
        <v>110000</v>
      </c>
      <c r="C19" s="44">
        <f>110000-40000</f>
        <v>70000</v>
      </c>
    </row>
    <row r="20" spans="1:3" x14ac:dyDescent="0.25">
      <c r="A20" s="8" t="s">
        <v>12</v>
      </c>
      <c r="B20" s="44">
        <v>120000</v>
      </c>
      <c r="C20" s="44">
        <v>140000</v>
      </c>
    </row>
    <row r="21" spans="1:3" x14ac:dyDescent="0.25">
      <c r="A21" s="8" t="s">
        <v>13</v>
      </c>
      <c r="B21" s="44">
        <v>3270000</v>
      </c>
      <c r="C21" s="44">
        <v>3270000</v>
      </c>
    </row>
    <row r="22" spans="1:3" x14ac:dyDescent="0.25">
      <c r="A22" s="8" t="s">
        <v>14</v>
      </c>
      <c r="B22" s="44">
        <v>1018000</v>
      </c>
      <c r="C22" s="44">
        <f>420000-200000+80000+82000+2000-15000+40000-2000-150000</f>
        <v>257000</v>
      </c>
    </row>
    <row r="23" spans="1:3" x14ac:dyDescent="0.25">
      <c r="A23" s="8" t="s">
        <v>15</v>
      </c>
      <c r="B23" s="44">
        <v>3844000</v>
      </c>
      <c r="C23" s="44">
        <f>12000+6000+1000+3000+80000+175000+24000+2000+100000+50000+2584000-620753+10000+200000+24000+4000+60000+60000+60000+60000+60000+60000+60000+60000+60000+60000+60000+60000+60000+60000+60000+60000+60000+60000</f>
        <v>3734247</v>
      </c>
    </row>
    <row r="24" spans="1:3" x14ac:dyDescent="0.25">
      <c r="A24" s="8" t="s">
        <v>41</v>
      </c>
      <c r="B24" s="44">
        <v>0</v>
      </c>
      <c r="C24" s="44">
        <v>232000</v>
      </c>
    </row>
    <row r="25" spans="1:3" x14ac:dyDescent="0.25">
      <c r="A25" s="3" t="s">
        <v>16</v>
      </c>
      <c r="B25" s="47">
        <f>SUM(B26:B34)</f>
        <v>10670144</v>
      </c>
      <c r="C25" s="47">
        <f>SUM(C26:C34)</f>
        <v>11334410</v>
      </c>
    </row>
    <row r="26" spans="1:3" x14ac:dyDescent="0.25">
      <c r="A26" s="8" t="s">
        <v>17</v>
      </c>
      <c r="B26" s="44">
        <v>7186144</v>
      </c>
      <c r="C26" s="44">
        <v>7346144</v>
      </c>
    </row>
    <row r="27" spans="1:3" x14ac:dyDescent="0.25">
      <c r="A27" s="8" t="s">
        <v>18</v>
      </c>
      <c r="B27" s="44">
        <v>118000</v>
      </c>
      <c r="C27" s="44">
        <f>25000+350000</f>
        <v>375000</v>
      </c>
    </row>
    <row r="28" spans="1:3" x14ac:dyDescent="0.25">
      <c r="A28" s="8" t="s">
        <v>19</v>
      </c>
      <c r="B28" s="44">
        <v>190000</v>
      </c>
      <c r="C28" s="44">
        <f>50000+75000+50000+15000</f>
        <v>190000</v>
      </c>
    </row>
    <row r="29" spans="1:3" x14ac:dyDescent="0.25">
      <c r="A29" s="8" t="s">
        <v>20</v>
      </c>
      <c r="B29" s="44">
        <v>8000</v>
      </c>
      <c r="C29" s="44">
        <v>8000</v>
      </c>
    </row>
    <row r="30" spans="1:3" x14ac:dyDescent="0.25">
      <c r="A30" s="8" t="s">
        <v>21</v>
      </c>
      <c r="B30" s="44">
        <v>170000</v>
      </c>
      <c r="C30" s="44">
        <f>58000+10000+150000+10000+10000</f>
        <v>238000</v>
      </c>
    </row>
    <row r="31" spans="1:3" x14ac:dyDescent="0.25">
      <c r="A31" s="8" t="s">
        <v>22</v>
      </c>
      <c r="B31" s="44">
        <v>3000</v>
      </c>
      <c r="C31" s="44">
        <f>3000</f>
        <v>3000</v>
      </c>
    </row>
    <row r="32" spans="1:3" x14ac:dyDescent="0.25">
      <c r="A32" s="8" t="s">
        <v>23</v>
      </c>
      <c r="B32" s="44">
        <v>2565000</v>
      </c>
      <c r="C32" s="44">
        <f>750000+1800000+10000+10000+15000</f>
        <v>2585000</v>
      </c>
    </row>
    <row r="33" spans="1:3" x14ac:dyDescent="0.25">
      <c r="A33" s="8" t="s">
        <v>42</v>
      </c>
      <c r="B33" s="44">
        <v>0</v>
      </c>
      <c r="C33" s="46"/>
    </row>
    <row r="34" spans="1:3" x14ac:dyDescent="0.25">
      <c r="A34" s="8" t="s">
        <v>24</v>
      </c>
      <c r="B34" s="44">
        <v>430000</v>
      </c>
      <c r="C34" s="44">
        <f>10000+100265.5+20000+25000+4000+30000+150000+20000+10000+10000+210000.5</f>
        <v>589266</v>
      </c>
    </row>
    <row r="35" spans="1:3" x14ac:dyDescent="0.25">
      <c r="A35" s="3" t="s">
        <v>25</v>
      </c>
      <c r="B35" s="47"/>
      <c r="C35" s="46"/>
    </row>
    <row r="36" spans="1:3" x14ac:dyDescent="0.25">
      <c r="A36" s="8" t="s">
        <v>26</v>
      </c>
      <c r="B36" s="44">
        <v>0</v>
      </c>
      <c r="C36" s="46"/>
    </row>
    <row r="37" spans="1:3" x14ac:dyDescent="0.25">
      <c r="A37" s="8" t="s">
        <v>43</v>
      </c>
      <c r="B37" s="44">
        <v>0</v>
      </c>
      <c r="C37" s="46"/>
    </row>
    <row r="38" spans="1:3" x14ac:dyDescent="0.25">
      <c r="A38" s="8" t="s">
        <v>44</v>
      </c>
      <c r="B38" s="44">
        <v>0</v>
      </c>
      <c r="C38" s="46"/>
    </row>
    <row r="39" spans="1:3" x14ac:dyDescent="0.25">
      <c r="A39" s="8" t="s">
        <v>45</v>
      </c>
      <c r="B39" s="44">
        <v>0</v>
      </c>
      <c r="C39" s="46"/>
    </row>
    <row r="40" spans="1:3" x14ac:dyDescent="0.25">
      <c r="A40" s="8" t="s">
        <v>46</v>
      </c>
      <c r="B40" s="44">
        <v>0</v>
      </c>
      <c r="C40" s="46"/>
    </row>
    <row r="41" spans="1:3" x14ac:dyDescent="0.25">
      <c r="A41" s="8" t="s">
        <v>27</v>
      </c>
      <c r="B41" s="44">
        <v>0</v>
      </c>
      <c r="C41" s="46"/>
    </row>
    <row r="42" spans="1:3" x14ac:dyDescent="0.25">
      <c r="A42" s="8" t="s">
        <v>47</v>
      </c>
      <c r="B42" s="44">
        <v>0</v>
      </c>
      <c r="C42" s="46"/>
    </row>
    <row r="43" spans="1:3" x14ac:dyDescent="0.25">
      <c r="A43" s="3" t="s">
        <v>48</v>
      </c>
      <c r="B43" s="47">
        <f>+B44+B45+B46+B47+B48+B49+B50</f>
        <v>0</v>
      </c>
      <c r="C43" s="46"/>
    </row>
    <row r="44" spans="1:3" x14ac:dyDescent="0.25">
      <c r="A44" s="8" t="s">
        <v>49</v>
      </c>
      <c r="B44" s="44">
        <v>0</v>
      </c>
      <c r="C44" s="46"/>
    </row>
    <row r="45" spans="1:3" x14ac:dyDescent="0.25">
      <c r="A45" s="8" t="s">
        <v>50</v>
      </c>
      <c r="B45" s="44">
        <v>0</v>
      </c>
      <c r="C45" s="46"/>
    </row>
    <row r="46" spans="1:3" x14ac:dyDescent="0.25">
      <c r="A46" s="8" t="s">
        <v>51</v>
      </c>
      <c r="B46" s="44">
        <v>0</v>
      </c>
      <c r="C46" s="46"/>
    </row>
    <row r="47" spans="1:3" x14ac:dyDescent="0.25">
      <c r="A47" s="8" t="s">
        <v>52</v>
      </c>
      <c r="B47" s="44">
        <v>0</v>
      </c>
      <c r="C47" s="46"/>
    </row>
    <row r="48" spans="1:3" x14ac:dyDescent="0.25">
      <c r="A48" s="8" t="s">
        <v>53</v>
      </c>
      <c r="B48" s="44">
        <v>0</v>
      </c>
      <c r="C48" s="46"/>
    </row>
    <row r="49" spans="1:5" x14ac:dyDescent="0.25">
      <c r="A49" s="8" t="s">
        <v>54</v>
      </c>
      <c r="B49" s="44">
        <v>0</v>
      </c>
      <c r="C49" s="46"/>
    </row>
    <row r="50" spans="1:5" x14ac:dyDescent="0.25">
      <c r="A50" s="8" t="s">
        <v>55</v>
      </c>
      <c r="B50" s="44">
        <v>0</v>
      </c>
      <c r="C50" s="46"/>
    </row>
    <row r="51" spans="1:5" x14ac:dyDescent="0.25">
      <c r="A51" s="3" t="s">
        <v>28</v>
      </c>
      <c r="B51" s="47">
        <f>SUM(B52:B59)</f>
        <v>406852</v>
      </c>
      <c r="C51" s="47">
        <f>SUM(C52:C59)</f>
        <v>1039852</v>
      </c>
    </row>
    <row r="52" spans="1:5" x14ac:dyDescent="0.25">
      <c r="A52" s="8" t="s">
        <v>29</v>
      </c>
      <c r="B52" s="44">
        <v>221852</v>
      </c>
      <c r="C52" s="44">
        <f>100000+100000+88000+15000+18852+350000+180000+8000+15000</f>
        <v>874852</v>
      </c>
    </row>
    <row r="53" spans="1:5" x14ac:dyDescent="0.25">
      <c r="A53" s="8" t="s">
        <v>30</v>
      </c>
      <c r="B53" s="44">
        <v>0</v>
      </c>
      <c r="C53" s="46"/>
    </row>
    <row r="54" spans="1:5" x14ac:dyDescent="0.25">
      <c r="A54" s="8" t="s">
        <v>31</v>
      </c>
      <c r="B54" s="44">
        <v>0</v>
      </c>
      <c r="C54" s="46"/>
    </row>
    <row r="55" spans="1:5" x14ac:dyDescent="0.25">
      <c r="A55" s="8" t="s">
        <v>32</v>
      </c>
      <c r="B55" s="44">
        <v>0</v>
      </c>
      <c r="C55" s="46"/>
    </row>
    <row r="56" spans="1:5" ht="22.5" customHeight="1" x14ac:dyDescent="0.25">
      <c r="A56" s="8" t="s">
        <v>33</v>
      </c>
      <c r="B56" s="44">
        <v>65000</v>
      </c>
      <c r="C56" s="44">
        <f>65000+100000</f>
        <v>165000</v>
      </c>
      <c r="E56" s="43"/>
    </row>
    <row r="57" spans="1:5" x14ac:dyDescent="0.25">
      <c r="A57" s="8" t="s">
        <v>56</v>
      </c>
      <c r="B57" s="44">
        <v>0</v>
      </c>
      <c r="C57" s="46"/>
    </row>
    <row r="58" spans="1:5" x14ac:dyDescent="0.25">
      <c r="A58" s="8" t="s">
        <v>57</v>
      </c>
      <c r="B58" s="44">
        <v>0</v>
      </c>
      <c r="C58" s="46"/>
    </row>
    <row r="59" spans="1:5" x14ac:dyDescent="0.25">
      <c r="A59" s="8" t="s">
        <v>34</v>
      </c>
      <c r="B59" s="44">
        <v>120000</v>
      </c>
      <c r="C59" s="44">
        <v>0</v>
      </c>
    </row>
    <row r="60" spans="1:5" x14ac:dyDescent="0.25">
      <c r="A60" s="8" t="s">
        <v>58</v>
      </c>
      <c r="B60" s="44"/>
      <c r="C60" s="46"/>
    </row>
    <row r="61" spans="1:5" x14ac:dyDescent="0.25">
      <c r="A61" s="3" t="s">
        <v>59</v>
      </c>
      <c r="B61" s="47">
        <f>+B62+B63+B64+B65</f>
        <v>0</v>
      </c>
      <c r="C61" s="46"/>
    </row>
    <row r="62" spans="1:5" x14ac:dyDescent="0.25">
      <c r="A62" s="8" t="s">
        <v>60</v>
      </c>
      <c r="B62" s="44">
        <v>0</v>
      </c>
      <c r="C62" s="46"/>
    </row>
    <row r="63" spans="1:5" x14ac:dyDescent="0.25">
      <c r="A63" s="8" t="s">
        <v>61</v>
      </c>
      <c r="B63" s="44">
        <v>0</v>
      </c>
      <c r="C63" s="46"/>
    </row>
    <row r="64" spans="1:5" x14ac:dyDescent="0.25">
      <c r="A64" s="8" t="s">
        <v>62</v>
      </c>
      <c r="B64" s="44">
        <v>0</v>
      </c>
      <c r="C64" s="46"/>
    </row>
    <row r="65" spans="1:3" x14ac:dyDescent="0.25">
      <c r="A65" s="8" t="s">
        <v>63</v>
      </c>
      <c r="B65" s="44">
        <v>0</v>
      </c>
      <c r="C65" s="46"/>
    </row>
    <row r="66" spans="1:3" x14ac:dyDescent="0.25">
      <c r="A66" s="3" t="s">
        <v>64</v>
      </c>
      <c r="B66" s="47">
        <f>+B67+B68</f>
        <v>0</v>
      </c>
      <c r="C66" s="46"/>
    </row>
    <row r="67" spans="1:3" x14ac:dyDescent="0.25">
      <c r="A67" s="8" t="s">
        <v>65</v>
      </c>
      <c r="B67" s="44">
        <v>0</v>
      </c>
      <c r="C67" s="46"/>
    </row>
    <row r="68" spans="1:3" x14ac:dyDescent="0.25">
      <c r="A68" s="8" t="s">
        <v>66</v>
      </c>
      <c r="B68" s="44">
        <v>0</v>
      </c>
      <c r="C68" s="46"/>
    </row>
    <row r="69" spans="1:3" x14ac:dyDescent="0.25">
      <c r="A69" s="3" t="s">
        <v>67</v>
      </c>
      <c r="B69" s="47">
        <f>+B70+B71+B72</f>
        <v>0</v>
      </c>
      <c r="C69" s="46"/>
    </row>
    <row r="70" spans="1:3" x14ac:dyDescent="0.25">
      <c r="A70" s="8" t="s">
        <v>68</v>
      </c>
      <c r="B70" s="44">
        <v>0</v>
      </c>
      <c r="C70" s="46"/>
    </row>
    <row r="71" spans="1:3" x14ac:dyDescent="0.25">
      <c r="A71" s="8" t="s">
        <v>69</v>
      </c>
      <c r="B71" s="44">
        <v>0</v>
      </c>
      <c r="C71" s="46"/>
    </row>
    <row r="72" spans="1:3" x14ac:dyDescent="0.25">
      <c r="A72" s="8" t="s">
        <v>70</v>
      </c>
      <c r="B72" s="44">
        <v>0</v>
      </c>
      <c r="C72" s="46"/>
    </row>
    <row r="73" spans="1:3" x14ac:dyDescent="0.25">
      <c r="A73" s="10" t="s">
        <v>35</v>
      </c>
      <c r="B73" s="25">
        <f>+B51+B25+B15+B9</f>
        <v>64021984</v>
      </c>
      <c r="C73" s="25">
        <f>+C9+C15+C25+C51</f>
        <v>66679750.5</v>
      </c>
    </row>
    <row r="74" spans="1:3" x14ac:dyDescent="0.25">
      <c r="A74" s="5"/>
      <c r="B74" s="22"/>
      <c r="C74" s="23"/>
    </row>
    <row r="75" spans="1:3" x14ac:dyDescent="0.25">
      <c r="A75" s="1" t="s">
        <v>71</v>
      </c>
      <c r="B75" s="24"/>
      <c r="C75" s="23"/>
    </row>
    <row r="76" spans="1:3" x14ac:dyDescent="0.25">
      <c r="A76" s="3" t="s">
        <v>72</v>
      </c>
      <c r="B76" s="24"/>
      <c r="C76" s="23"/>
    </row>
    <row r="77" spans="1:3" x14ac:dyDescent="0.25">
      <c r="A77" s="8" t="s">
        <v>73</v>
      </c>
      <c r="B77" s="22"/>
      <c r="C77" s="23"/>
    </row>
    <row r="78" spans="1:3" x14ac:dyDescent="0.25">
      <c r="A78" s="8" t="s">
        <v>74</v>
      </c>
      <c r="B78" s="22"/>
      <c r="C78" s="23"/>
    </row>
    <row r="79" spans="1:3" x14ac:dyDescent="0.25">
      <c r="A79" s="3" t="s">
        <v>75</v>
      </c>
      <c r="B79" s="24"/>
      <c r="C79" s="23"/>
    </row>
    <row r="80" spans="1:3" x14ac:dyDescent="0.25">
      <c r="A80" s="8" t="s">
        <v>76</v>
      </c>
      <c r="B80" s="22"/>
      <c r="C80" s="23"/>
    </row>
    <row r="81" spans="1:3" x14ac:dyDescent="0.25">
      <c r="A81" s="8" t="s">
        <v>77</v>
      </c>
      <c r="B81" s="22"/>
      <c r="C81" s="23"/>
    </row>
    <row r="82" spans="1:3" x14ac:dyDescent="0.25">
      <c r="A82" s="3" t="s">
        <v>78</v>
      </c>
      <c r="B82" s="24"/>
      <c r="C82" s="23"/>
    </row>
    <row r="83" spans="1:3" x14ac:dyDescent="0.25">
      <c r="A83" s="8" t="s">
        <v>79</v>
      </c>
      <c r="B83" s="22"/>
      <c r="C83" s="23"/>
    </row>
    <row r="84" spans="1:3" x14ac:dyDescent="0.25">
      <c r="A84" s="10" t="s">
        <v>80</v>
      </c>
      <c r="B84" s="25"/>
      <c r="C84" s="25"/>
    </row>
    <row r="85" spans="1:3" x14ac:dyDescent="0.25">
      <c r="B85" s="23"/>
      <c r="C85" s="23"/>
    </row>
    <row r="86" spans="1:3" ht="15.75" x14ac:dyDescent="0.25">
      <c r="A86" s="11" t="s">
        <v>81</v>
      </c>
      <c r="B86" s="26">
        <f>+B73</f>
        <v>64021984</v>
      </c>
      <c r="C86" s="26">
        <f>+C73</f>
        <v>66679750.5</v>
      </c>
    </row>
    <row r="87" spans="1:3" x14ac:dyDescent="0.25">
      <c r="A87" t="s">
        <v>102</v>
      </c>
      <c r="B87" s="18" t="s">
        <v>113</v>
      </c>
    </row>
    <row r="88" spans="1:3" x14ac:dyDescent="0.25">
      <c r="B88" t="s">
        <v>113</v>
      </c>
      <c r="C88" t="s">
        <v>113</v>
      </c>
    </row>
    <row r="89" spans="1:3" x14ac:dyDescent="0.25">
      <c r="B89" s="40" t="s">
        <v>113</v>
      </c>
    </row>
    <row r="91" spans="1:3" x14ac:dyDescent="0.25">
      <c r="A91" t="s">
        <v>106</v>
      </c>
      <c r="B91" t="s">
        <v>107</v>
      </c>
    </row>
    <row r="95" spans="1:3" x14ac:dyDescent="0.25">
      <c r="A95" t="s">
        <v>119</v>
      </c>
      <c r="B95" t="s">
        <v>137</v>
      </c>
    </row>
    <row r="96" spans="1:3" x14ac:dyDescent="0.25">
      <c r="A96" s="28" t="s">
        <v>122</v>
      </c>
      <c r="B96" s="28" t="s">
        <v>136</v>
      </c>
      <c r="C96" s="28"/>
    </row>
    <row r="97" spans="1:2" x14ac:dyDescent="0.25">
      <c r="A97" t="s">
        <v>116</v>
      </c>
      <c r="B97" t="s">
        <v>118</v>
      </c>
    </row>
    <row r="98" spans="1:2" x14ac:dyDescent="0.25">
      <c r="A98" t="s">
        <v>112</v>
      </c>
    </row>
    <row r="99" spans="1:2" x14ac:dyDescent="0.25">
      <c r="A99" t="s">
        <v>108</v>
      </c>
    </row>
    <row r="100" spans="1:2" x14ac:dyDescent="0.25">
      <c r="A100" t="s">
        <v>109</v>
      </c>
    </row>
    <row r="101" spans="1:2" x14ac:dyDescent="0.25">
      <c r="A101" t="s">
        <v>110</v>
      </c>
    </row>
    <row r="102" spans="1:2" x14ac:dyDescent="0.25">
      <c r="A102" s="28" t="s">
        <v>134</v>
      </c>
    </row>
    <row r="103" spans="1:2" x14ac:dyDescent="0.25">
      <c r="A103" t="s">
        <v>135</v>
      </c>
    </row>
    <row r="104" spans="1:2" x14ac:dyDescent="0.25">
      <c r="A104" s="27"/>
    </row>
    <row r="105" spans="1:2" x14ac:dyDescent="0.25">
      <c r="A105" s="27" t="s">
        <v>111</v>
      </c>
    </row>
    <row r="106" spans="1:2" x14ac:dyDescent="0.25">
      <c r="A106" s="27"/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3686-76A8-4C32-BDB1-76B3BD49160E}">
  <sheetPr>
    <pageSetUpPr fitToPage="1"/>
  </sheetPr>
  <dimension ref="A1:AB108"/>
  <sheetViews>
    <sheetView showGridLines="0" view="pageBreakPreview" zoomScale="83" zoomScaleNormal="110" zoomScaleSheetLayoutView="8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O21" sqref="O21"/>
    </sheetView>
  </sheetViews>
  <sheetFormatPr baseColWidth="10" defaultColWidth="9.140625" defaultRowHeight="15" x14ac:dyDescent="0.25"/>
  <cols>
    <col min="1" max="1" width="40" customWidth="1"/>
    <col min="2" max="2" width="6.7109375" customWidth="1"/>
    <col min="3" max="7" width="13.42578125" customWidth="1"/>
    <col min="8" max="8" width="14.5703125" customWidth="1"/>
    <col min="9" max="9" width="14.28515625" customWidth="1"/>
    <col min="10" max="10" width="14" style="43" customWidth="1"/>
    <col min="11" max="11" width="13.85546875" customWidth="1"/>
    <col min="12" max="12" width="14.42578125" customWidth="1"/>
    <col min="13" max="13" width="13.140625" customWidth="1"/>
    <col min="14" max="14" width="18" customWidth="1"/>
    <col min="15" max="15" width="15.28515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3">
      <c r="A1" s="389" t="s">
        <v>104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Q1" s="9" t="s">
        <v>92</v>
      </c>
    </row>
    <row r="2" spans="1:28" ht="18.75" x14ac:dyDescent="0.25">
      <c r="A2" s="389" t="s">
        <v>105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Q2" s="16" t="s">
        <v>94</v>
      </c>
    </row>
    <row r="3" spans="1:28" ht="18.75" x14ac:dyDescent="0.25">
      <c r="A3" s="389" t="s">
        <v>121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Q3" s="16" t="s">
        <v>95</v>
      </c>
    </row>
    <row r="4" spans="1:28" ht="15.75" customHeight="1" x14ac:dyDescent="0.25">
      <c r="A4" s="213"/>
      <c r="B4" s="213"/>
      <c r="C4" s="213"/>
      <c r="D4" s="213"/>
      <c r="E4" s="214" t="s">
        <v>337</v>
      </c>
      <c r="F4" s="213"/>
      <c r="G4" s="213"/>
      <c r="H4" s="213"/>
      <c r="I4" s="216" t="str">
        <f>IF(C108=2,C7,IF(D108=2,D7,IF(E108=2,E7,IF(F108=2,F7,IF(G108=2,G7,IF(H108=2,H7,IF(I108=2,I7,IF(J108=2,J7,IF(K108=2,K7,IF(L108=2,L7,IF(M108=2,M7,IF(N108=2,N7,""))))))))))))</f>
        <v/>
      </c>
      <c r="J4" s="213" t="s">
        <v>338</v>
      </c>
      <c r="K4" s="213"/>
      <c r="L4" s="213"/>
      <c r="M4" s="213"/>
      <c r="N4" s="213"/>
      <c r="O4" s="213"/>
      <c r="Q4" s="16" t="s">
        <v>93</v>
      </c>
    </row>
    <row r="5" spans="1:28" x14ac:dyDescent="0.25">
      <c r="A5" s="394" t="s">
        <v>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Q5" s="16" t="s">
        <v>96</v>
      </c>
    </row>
    <row r="6" spans="1:28" x14ac:dyDescent="0.25">
      <c r="Q6" s="16" t="s">
        <v>97</v>
      </c>
    </row>
    <row r="7" spans="1:28" s="176" customFormat="1" ht="15.75" x14ac:dyDescent="0.25">
      <c r="A7" s="211" t="s">
        <v>0</v>
      </c>
      <c r="B7" s="212" t="s">
        <v>103</v>
      </c>
      <c r="C7" s="212" t="s">
        <v>82</v>
      </c>
      <c r="D7" s="212" t="s">
        <v>83</v>
      </c>
      <c r="E7" s="212" t="s">
        <v>84</v>
      </c>
      <c r="F7" s="212" t="s">
        <v>85</v>
      </c>
      <c r="G7" s="212" t="s">
        <v>86</v>
      </c>
      <c r="H7" s="212" t="s">
        <v>87</v>
      </c>
      <c r="I7" s="212" t="s">
        <v>88</v>
      </c>
      <c r="J7" s="212" t="s">
        <v>89</v>
      </c>
      <c r="K7" s="212" t="s">
        <v>90</v>
      </c>
      <c r="L7" s="212" t="s">
        <v>91</v>
      </c>
      <c r="M7" s="212" t="s">
        <v>115</v>
      </c>
      <c r="N7" s="212" t="s">
        <v>117</v>
      </c>
      <c r="O7" s="212" t="s">
        <v>114</v>
      </c>
      <c r="AA7" s="187">
        <f>SUM(S8:AA8)</f>
        <v>11.029108875781253</v>
      </c>
      <c r="AB7" s="187">
        <f>+AA7+AB8</f>
        <v>13.989108875781252</v>
      </c>
    </row>
    <row r="8" spans="1:28" x14ac:dyDescent="0.25">
      <c r="A8" s="1" t="s">
        <v>1</v>
      </c>
      <c r="B8" s="17"/>
      <c r="C8" s="190"/>
      <c r="D8" s="190"/>
      <c r="E8" s="190"/>
      <c r="F8" s="190"/>
      <c r="G8" s="190"/>
      <c r="H8" s="190"/>
      <c r="I8" s="190"/>
      <c r="J8" s="191"/>
      <c r="K8" s="190"/>
      <c r="L8" s="190"/>
      <c r="M8" s="190"/>
      <c r="N8" s="190"/>
      <c r="O8" s="190"/>
      <c r="S8" s="18">
        <v>1</v>
      </c>
      <c r="T8" s="18">
        <v>1.05</v>
      </c>
      <c r="U8" s="18">
        <f>+T8*1.05</f>
        <v>1.1025</v>
      </c>
      <c r="V8" s="18">
        <f t="shared" ref="V8:Z8" si="0">+U8*1.05</f>
        <v>1.1576250000000001</v>
      </c>
      <c r="W8" s="18">
        <f t="shared" si="0"/>
        <v>1.2155062500000002</v>
      </c>
      <c r="X8" s="18">
        <f t="shared" si="0"/>
        <v>1.2762815625000004</v>
      </c>
      <c r="Y8" s="18">
        <f t="shared" si="0"/>
        <v>1.3400956406250004</v>
      </c>
      <c r="Z8" s="18">
        <f t="shared" si="0"/>
        <v>1.4071004226562505</v>
      </c>
      <c r="AA8" s="18">
        <v>1.48</v>
      </c>
      <c r="AB8" s="18">
        <f>+AA8*2</f>
        <v>2.96</v>
      </c>
    </row>
    <row r="9" spans="1:28" s="176" customFormat="1" ht="30" x14ac:dyDescent="0.25">
      <c r="A9" s="174" t="s">
        <v>2</v>
      </c>
      <c r="B9" s="175"/>
      <c r="C9" s="192">
        <f>+C10+C11+C14</f>
        <v>3231956.3099999996</v>
      </c>
      <c r="D9" s="193">
        <f t="shared" ref="D9:H9" si="1">+D10+D11+D12+D14</f>
        <v>3263606.3099999996</v>
      </c>
      <c r="E9" s="193">
        <f t="shared" si="1"/>
        <v>3295256.3099999996</v>
      </c>
      <c r="F9" s="193">
        <f t="shared" si="1"/>
        <v>3236951.2199999997</v>
      </c>
      <c r="G9" s="193">
        <f t="shared" si="1"/>
        <v>3180788.6</v>
      </c>
      <c r="H9" s="193">
        <f t="shared" si="1"/>
        <v>3202168.15</v>
      </c>
      <c r="I9" s="193">
        <f>+I10+I11+I12+I14</f>
        <v>3392918.6800000006</v>
      </c>
      <c r="J9" s="193">
        <f>+J10+J11+J12+J14</f>
        <v>3770860.4</v>
      </c>
      <c r="K9" s="193">
        <f t="shared" ref="K9:N9" si="2">+K10+K11+K12+K14</f>
        <v>3565315.9899999998</v>
      </c>
      <c r="L9" s="193">
        <f t="shared" si="2"/>
        <v>3032763.7</v>
      </c>
      <c r="M9" s="193">
        <f t="shared" si="2"/>
        <v>2969985.8200000003</v>
      </c>
      <c r="N9" s="193">
        <f t="shared" si="2"/>
        <v>2947928.07</v>
      </c>
      <c r="O9" s="194">
        <f>+O10+O11+O12+O13+O14</f>
        <v>39090499.559999995</v>
      </c>
      <c r="S9" s="177"/>
    </row>
    <row r="10" spans="1:28" s="176" customFormat="1" x14ac:dyDescent="0.25">
      <c r="A10" s="178" t="s">
        <v>3</v>
      </c>
      <c r="B10" s="175"/>
      <c r="C10" s="195">
        <v>2770472.26</v>
      </c>
      <c r="D10" s="196">
        <v>2770472.26</v>
      </c>
      <c r="E10" s="196">
        <v>2770472.26</v>
      </c>
      <c r="F10" s="196">
        <v>2747372.26</v>
      </c>
      <c r="G10" s="196">
        <v>2728692.06</v>
      </c>
      <c r="H10" s="196">
        <v>2780646.1</v>
      </c>
      <c r="I10" s="196">
        <f>2076227.62+17600+320000+110752.19+45000+171951.16+215691.16</f>
        <v>2957222.1300000004</v>
      </c>
      <c r="J10" s="196">
        <f>'Ejecución 2021'!Q18</f>
        <v>2497469.94</v>
      </c>
      <c r="K10" s="196">
        <f>'Ejecución 2021'!R18</f>
        <v>3136174.38</v>
      </c>
      <c r="L10" s="196">
        <f>'Ejecución 2021'!S18</f>
        <v>2595967.62</v>
      </c>
      <c r="M10" s="196"/>
      <c r="N10" s="196">
        <f>'Ejecución 2021'!U18</f>
        <v>2518267.62</v>
      </c>
      <c r="O10" s="197">
        <f t="shared" ref="O10:O13" si="3">SUM(C10:N10)</f>
        <v>30273228.890000001</v>
      </c>
    </row>
    <row r="11" spans="1:28" s="176" customFormat="1" x14ac:dyDescent="0.25">
      <c r="A11" s="178" t="s">
        <v>4</v>
      </c>
      <c r="C11" s="195">
        <v>56250</v>
      </c>
      <c r="D11" s="196">
        <v>56250</v>
      </c>
      <c r="E11" s="196">
        <v>56250</v>
      </c>
      <c r="F11" s="196">
        <v>56250</v>
      </c>
      <c r="G11" s="196">
        <v>56250</v>
      </c>
      <c r="H11" s="196">
        <v>41250</v>
      </c>
      <c r="I11" s="196">
        <v>71250</v>
      </c>
      <c r="J11" s="196">
        <f>'Ejecución 2021'!Q35</f>
        <v>907671.48</v>
      </c>
      <c r="K11" s="196">
        <f>'Ejecución 2021'!R35</f>
        <v>56250</v>
      </c>
      <c r="L11" s="196">
        <f>'Ejecución 2021'!S35</f>
        <v>56250</v>
      </c>
      <c r="M11" s="196">
        <f>'Ejecución 2021'!T35</f>
        <v>2568635.6800000002</v>
      </c>
      <c r="N11" s="196">
        <f>'Ejecución 2021'!U35</f>
        <v>56250</v>
      </c>
      <c r="O11" s="197">
        <f t="shared" si="3"/>
        <v>4038807.16</v>
      </c>
    </row>
    <row r="12" spans="1:28" s="176" customFormat="1" ht="30" x14ac:dyDescent="0.25">
      <c r="A12" s="178" t="s">
        <v>40</v>
      </c>
      <c r="C12" s="198"/>
      <c r="D12" s="196">
        <v>31650</v>
      </c>
      <c r="E12" s="196">
        <v>63300</v>
      </c>
      <c r="F12" s="196">
        <v>31650</v>
      </c>
      <c r="G12" s="196"/>
      <c r="H12" s="196"/>
      <c r="I12" s="196"/>
      <c r="J12" s="196">
        <f>'Ejecución 2021'!Q44</f>
        <v>0</v>
      </c>
      <c r="K12" s="196">
        <f>'Ejecución 2021'!R44</f>
        <v>0</v>
      </c>
      <c r="L12" s="196">
        <f>'Ejecución 2021'!S44</f>
        <v>0</v>
      </c>
      <c r="M12" s="196">
        <f>'Ejecución 2021'!T44</f>
        <v>0</v>
      </c>
      <c r="N12" s="196">
        <f>'Ejecución 2021'!U44</f>
        <v>3327.3</v>
      </c>
      <c r="O12" s="197">
        <f t="shared" si="3"/>
        <v>129927.3</v>
      </c>
    </row>
    <row r="13" spans="1:28" s="176" customFormat="1" ht="30" x14ac:dyDescent="0.25">
      <c r="A13" s="178" t="s">
        <v>5</v>
      </c>
      <c r="C13" s="198"/>
      <c r="D13" s="196"/>
      <c r="E13" s="199"/>
      <c r="F13" s="196"/>
      <c r="G13" s="196"/>
      <c r="H13" s="196"/>
      <c r="I13" s="196"/>
      <c r="J13" s="196">
        <f>'Ejecución 2021'!Q51</f>
        <v>0</v>
      </c>
      <c r="K13" s="196">
        <f>'Ejecución 2021'!R51</f>
        <v>0</v>
      </c>
      <c r="L13" s="196">
        <f>'Ejecución 2021'!S51</f>
        <v>0</v>
      </c>
      <c r="M13" s="196">
        <f>'Ejecución 2021'!T51</f>
        <v>0</v>
      </c>
      <c r="N13" s="196">
        <f>'Ejecución 2021'!U51</f>
        <v>0</v>
      </c>
      <c r="O13" s="197">
        <f t="shared" si="3"/>
        <v>0</v>
      </c>
    </row>
    <row r="14" spans="1:28" s="176" customFormat="1" ht="30" x14ac:dyDescent="0.25">
      <c r="A14" s="178" t="s">
        <v>6</v>
      </c>
      <c r="C14" s="195">
        <v>405234.05</v>
      </c>
      <c r="D14" s="179">
        <v>405234.05</v>
      </c>
      <c r="E14" s="179">
        <v>405234.05</v>
      </c>
      <c r="F14" s="179">
        <v>401678.96</v>
      </c>
      <c r="G14" s="179">
        <v>395846.54</v>
      </c>
      <c r="H14" s="179">
        <v>380272.05</v>
      </c>
      <c r="I14" s="179">
        <f>138939.1+148661.77+12492.31+3190.5+3195+540+12191.34+12208.53+1127.14+15292.5+15314.08+1294.28</f>
        <v>364446.5500000001</v>
      </c>
      <c r="J14" s="179">
        <f>'Ejecución 2021'!Q56</f>
        <v>365718.98</v>
      </c>
      <c r="K14" s="179">
        <f>'Ejecución 2021'!R56</f>
        <v>372891.61000000004</v>
      </c>
      <c r="L14" s="179">
        <f>'Ejecución 2021'!S56</f>
        <v>380546.08</v>
      </c>
      <c r="M14" s="179">
        <f>'Ejecución 2021'!T56</f>
        <v>401350.14</v>
      </c>
      <c r="N14" s="179">
        <f>'Ejecución 2021'!U56</f>
        <v>370083.15</v>
      </c>
      <c r="O14" s="197">
        <f>SUM(C14:N14)</f>
        <v>4648536.21</v>
      </c>
    </row>
    <row r="15" spans="1:28" s="176" customFormat="1" x14ac:dyDescent="0.25">
      <c r="A15" s="174" t="s">
        <v>7</v>
      </c>
      <c r="C15" s="200">
        <f>+C16+C18+C21+C22+C23</f>
        <v>387287.54</v>
      </c>
      <c r="D15" s="201">
        <f>+D16+D18+D21+D22+D23+D24</f>
        <v>452480.33999999997</v>
      </c>
      <c r="E15" s="201">
        <f>+E16+E18+E21+E22+E23+E24</f>
        <v>416023.05</v>
      </c>
      <c r="F15" s="201">
        <f>+F16+F18+F21+F22+F23+F24</f>
        <v>506804.60000000003</v>
      </c>
      <c r="G15" s="201">
        <f>SUM(G16:G24)</f>
        <v>445524.89999999997</v>
      </c>
      <c r="H15" s="201">
        <f>+H16+H17+H18+H21+H22+H23+H24</f>
        <v>493778.05</v>
      </c>
      <c r="I15" s="201">
        <f>+I16+I17+I18+I21+I22+I23+I24</f>
        <v>563401.33299999998</v>
      </c>
      <c r="J15" s="201">
        <f>+J16+J17+J18+J21+J22+J23</f>
        <v>470945.36999999994</v>
      </c>
      <c r="K15" s="201">
        <f>K16+K20+K21+K22+K23+K24</f>
        <v>348624.2</v>
      </c>
      <c r="L15" s="201">
        <f>+L16+L17+L18+L19+L20+L21+L22+L23+L24</f>
        <v>497174.52</v>
      </c>
      <c r="M15" s="201">
        <f>+M16+M17+M18+M19+M21+M22+M23+M24</f>
        <v>997400.25</v>
      </c>
      <c r="N15" s="201">
        <f>+N16+N17+N18+N19+N21+N22+N23+N24</f>
        <v>797061.59000000008</v>
      </c>
      <c r="O15" s="202">
        <f>+O16+O17+O18+O19+O21+O22+O23+O24</f>
        <v>6220316.7630000003</v>
      </c>
    </row>
    <row r="16" spans="1:28" s="176" customFormat="1" x14ac:dyDescent="0.25">
      <c r="A16" s="178" t="s">
        <v>8</v>
      </c>
      <c r="C16" s="195">
        <v>139913.35999999999</v>
      </c>
      <c r="D16" s="196">
        <v>127226.84</v>
      </c>
      <c r="E16" s="196">
        <v>122680.05</v>
      </c>
      <c r="F16" s="196">
        <v>120850.14</v>
      </c>
      <c r="G16" s="196">
        <v>103997.79</v>
      </c>
      <c r="H16" s="196">
        <v>141075.01</v>
      </c>
      <c r="I16" s="196">
        <f>131638.82+13421.36+1188+2484</f>
        <v>148732.18</v>
      </c>
      <c r="J16" s="196">
        <f>'Ejecución 2021'!Q63</f>
        <v>126293.50999999998</v>
      </c>
      <c r="K16" s="196">
        <f>'Ejecución 2021'!R63</f>
        <v>153800.63</v>
      </c>
      <c r="L16" s="196">
        <f>'Ejecución 2021'!S63</f>
        <v>162120.22</v>
      </c>
      <c r="M16" s="196">
        <f>'Ejecución 2021'!T63</f>
        <v>158968.04999999999</v>
      </c>
      <c r="N16" s="196">
        <f>'Ejecución 2021'!U63</f>
        <v>210167.11</v>
      </c>
      <c r="O16" s="197">
        <f>SUM(C16:N16)</f>
        <v>1715824.8899999997</v>
      </c>
    </row>
    <row r="17" spans="1:15" s="176" customFormat="1" ht="30" x14ac:dyDescent="0.25">
      <c r="A17" s="178" t="s">
        <v>9</v>
      </c>
      <c r="C17" s="198"/>
      <c r="D17" s="196"/>
      <c r="E17" s="199"/>
      <c r="F17" s="180"/>
      <c r="G17" s="196"/>
      <c r="H17" s="196"/>
      <c r="I17" s="196"/>
      <c r="J17" s="196">
        <f>'Ejecución 2021'!Q73</f>
        <v>0</v>
      </c>
      <c r="K17" s="196">
        <f>'Ejecución 2021'!R73</f>
        <v>0</v>
      </c>
      <c r="L17" s="196">
        <f>'Ejecución 2021'!S73</f>
        <v>0</v>
      </c>
      <c r="M17" s="196">
        <f>'Ejecución 2021'!T73</f>
        <v>0</v>
      </c>
      <c r="N17" s="196">
        <f>'Ejecución 2021'!U73</f>
        <v>37878</v>
      </c>
      <c r="O17" s="197">
        <f>SUM(C17:N17)</f>
        <v>37878</v>
      </c>
    </row>
    <row r="18" spans="1:15" s="176" customFormat="1" x14ac:dyDescent="0.25">
      <c r="A18" s="178" t="s">
        <v>10</v>
      </c>
      <c r="C18" s="198"/>
      <c r="D18" s="196">
        <v>15700</v>
      </c>
      <c r="E18" s="196">
        <v>7800</v>
      </c>
      <c r="F18" s="196"/>
      <c r="G18" s="196"/>
      <c r="H18" s="196">
        <v>16486.96</v>
      </c>
      <c r="I18" s="196"/>
      <c r="J18" s="196">
        <f>'Ejecución 2021'!Q77</f>
        <v>0</v>
      </c>
      <c r="K18" s="196">
        <f>'Ejecución 2021'!R77</f>
        <v>0</v>
      </c>
      <c r="L18" s="196">
        <f>'Ejecución 2021'!S77</f>
        <v>0</v>
      </c>
      <c r="M18" s="196">
        <f>'Ejecución 2021'!T77</f>
        <v>0</v>
      </c>
      <c r="N18" s="196">
        <f>'Ejecución 2021'!U77</f>
        <v>91502.16</v>
      </c>
      <c r="O18" s="197">
        <f>SUM(C18:N18)</f>
        <v>131489.12</v>
      </c>
    </row>
    <row r="19" spans="1:15" s="176" customFormat="1" ht="18" customHeight="1" x14ac:dyDescent="0.25">
      <c r="A19" s="178" t="s">
        <v>11</v>
      </c>
      <c r="C19" s="198"/>
      <c r="D19" s="199"/>
      <c r="E19" s="199"/>
      <c r="F19" s="199"/>
      <c r="G19" s="180"/>
      <c r="H19" s="180"/>
      <c r="I19" s="199"/>
      <c r="J19" s="196">
        <f>'Ejecución 2021'!Q81</f>
        <v>0</v>
      </c>
      <c r="K19" s="196">
        <f>'Ejecución 2021'!R81</f>
        <v>0</v>
      </c>
      <c r="L19" s="196">
        <f>'Ejecución 2021'!S81</f>
        <v>0</v>
      </c>
      <c r="M19" s="196">
        <f>'Ejecución 2021'!T81</f>
        <v>0</v>
      </c>
      <c r="N19" s="196">
        <f>'Ejecución 2021'!U81</f>
        <v>60000</v>
      </c>
      <c r="O19" s="197">
        <f>SUM(C19:L19)</f>
        <v>0</v>
      </c>
    </row>
    <row r="20" spans="1:15" s="176" customFormat="1" x14ac:dyDescent="0.25">
      <c r="A20" s="178" t="s">
        <v>12</v>
      </c>
      <c r="C20" s="198"/>
      <c r="D20" s="196"/>
      <c r="E20" s="199"/>
      <c r="F20" s="199"/>
      <c r="G20" s="199"/>
      <c r="H20" s="199"/>
      <c r="I20" s="199"/>
      <c r="J20" s="196">
        <f>'Ejecución 2021'!Q85</f>
        <v>0</v>
      </c>
      <c r="K20" s="196">
        <f>'Ejecución 2021'!R85</f>
        <v>71188.320000000007</v>
      </c>
      <c r="L20" s="196">
        <f>'Ejecución 2021'!S85</f>
        <v>25000.66</v>
      </c>
      <c r="M20" s="196">
        <f>'Ejecución 2021'!T85</f>
        <v>25000.66</v>
      </c>
      <c r="N20" s="196">
        <f>'Ejecución 2021'!U85</f>
        <v>142972.34</v>
      </c>
      <c r="O20" s="197">
        <f t="shared" ref="O20:O72" si="4">SUM(C20:L20)</f>
        <v>96188.98000000001</v>
      </c>
    </row>
    <row r="21" spans="1:15" s="176" customFormat="1" x14ac:dyDescent="0.25">
      <c r="A21" s="178" t="s">
        <v>13</v>
      </c>
      <c r="C21" s="203">
        <v>247374.18</v>
      </c>
      <c r="D21" s="196">
        <v>296461.73</v>
      </c>
      <c r="E21" s="196">
        <v>267140</v>
      </c>
      <c r="F21" s="196">
        <v>264414.46000000002</v>
      </c>
      <c r="G21" s="196">
        <v>329778.37</v>
      </c>
      <c r="H21" s="196">
        <v>312995.26</v>
      </c>
      <c r="I21" s="196">
        <v>373279.15299999999</v>
      </c>
      <c r="J21" s="196">
        <f>'Ejecución 2021'!Q91</f>
        <v>333249.33999999997</v>
      </c>
      <c r="K21" s="196">
        <f>'Ejecución 2021'!R91</f>
        <v>24098.12</v>
      </c>
      <c r="L21" s="196">
        <f>'Ejecución 2021'!S91</f>
        <v>31563.439999999999</v>
      </c>
      <c r="M21" s="196">
        <f>'Ejecución 2021'!T91</f>
        <v>638809.51</v>
      </c>
      <c r="N21" s="196">
        <f>'Ejecución 2021'!U91</f>
        <v>387882.02</v>
      </c>
      <c r="O21" s="197">
        <f>SUM(C21:N21)</f>
        <v>3507045.5830000001</v>
      </c>
    </row>
    <row r="22" spans="1:15" s="176" customFormat="1" ht="45" x14ac:dyDescent="0.25">
      <c r="A22" s="178" t="s">
        <v>14</v>
      </c>
      <c r="C22" s="198"/>
      <c r="D22" s="196">
        <v>13091.77</v>
      </c>
      <c r="E22" s="196">
        <v>11500</v>
      </c>
      <c r="F22" s="196"/>
      <c r="G22" s="196">
        <v>11748.74</v>
      </c>
      <c r="H22" s="196">
        <v>11479.82</v>
      </c>
      <c r="I22" s="196">
        <f>15807.87+17569.93</f>
        <v>33377.800000000003</v>
      </c>
      <c r="J22" s="196">
        <f>'Ejecución 2021'!Q97</f>
        <v>8588.67</v>
      </c>
      <c r="K22" s="196">
        <f>'Ejecución 2021'!R97</f>
        <v>0</v>
      </c>
      <c r="L22" s="196">
        <f>'Ejecución 2021'!S97</f>
        <v>113026.6</v>
      </c>
      <c r="M22" s="196">
        <f>'Ejecución 2021'!T97</f>
        <v>166022.69</v>
      </c>
      <c r="N22" s="196">
        <f>'Ejecución 2021'!U97</f>
        <v>2644.41</v>
      </c>
      <c r="O22" s="197">
        <f>SUM(C22:N22)</f>
        <v>371480.5</v>
      </c>
    </row>
    <row r="23" spans="1:15" s="176" customFormat="1" ht="30" x14ac:dyDescent="0.25">
      <c r="A23" s="178" t="s">
        <v>15</v>
      </c>
      <c r="C23" s="198"/>
      <c r="D23" s="196"/>
      <c r="E23" s="196"/>
      <c r="F23" s="196">
        <v>121540</v>
      </c>
      <c r="G23" s="196"/>
      <c r="H23" s="196"/>
      <c r="I23" s="196"/>
      <c r="J23" s="196">
        <f>'Ejecución 2021'!Q110</f>
        <v>2813.85</v>
      </c>
      <c r="K23" s="196">
        <f>'Ejecución 2021'!R110</f>
        <v>47200</v>
      </c>
      <c r="L23" s="196">
        <f>'Ejecución 2021'!S110</f>
        <v>155292</v>
      </c>
      <c r="M23" s="196">
        <f>'Ejecución 2021'!T110</f>
        <v>33600</v>
      </c>
      <c r="N23" s="196">
        <f>'Ejecución 2021'!U110</f>
        <v>6987.89</v>
      </c>
      <c r="O23" s="197">
        <f>SUM(C23:N23)</f>
        <v>367433.74</v>
      </c>
    </row>
    <row r="24" spans="1:15" s="176" customFormat="1" ht="30" x14ac:dyDescent="0.25">
      <c r="A24" s="178" t="s">
        <v>41</v>
      </c>
      <c r="C24" s="198"/>
      <c r="D24" s="196"/>
      <c r="E24" s="196">
        <v>6903</v>
      </c>
      <c r="F24" s="196"/>
      <c r="G24" s="196"/>
      <c r="H24" s="196">
        <v>11741</v>
      </c>
      <c r="I24" s="196">
        <v>8012.2</v>
      </c>
      <c r="J24" s="196">
        <f>'Ejecución 2021'!Q130</f>
        <v>0</v>
      </c>
      <c r="K24" s="196">
        <f>'Ejecución 2021'!R130</f>
        <v>52337.13</v>
      </c>
      <c r="L24" s="196">
        <f>'Ejecución 2021'!S130</f>
        <v>10171.6</v>
      </c>
      <c r="M24" s="196">
        <f>'Ejecución 2021'!T130</f>
        <v>0</v>
      </c>
      <c r="N24" s="196">
        <f>'Ejecución 2021'!U130</f>
        <v>0</v>
      </c>
      <c r="O24" s="197">
        <f>SUM(C24:N24)</f>
        <v>89164.930000000008</v>
      </c>
    </row>
    <row r="25" spans="1:15" s="176" customFormat="1" x14ac:dyDescent="0.25">
      <c r="A25" s="174" t="s">
        <v>16</v>
      </c>
      <c r="C25" s="204">
        <f>+C26+C28+C30+C32+C34+C33</f>
        <v>0</v>
      </c>
      <c r="D25" s="201">
        <f t="shared" ref="D25:H25" si="5">+D26+D28+D30+D32+D34+D33</f>
        <v>0</v>
      </c>
      <c r="E25" s="201">
        <f t="shared" si="5"/>
        <v>52392</v>
      </c>
      <c r="F25" s="201">
        <f t="shared" si="5"/>
        <v>64636</v>
      </c>
      <c r="G25" s="201">
        <f t="shared" si="5"/>
        <v>149791.29999999999</v>
      </c>
      <c r="H25" s="201">
        <f t="shared" si="5"/>
        <v>280000</v>
      </c>
      <c r="I25" s="201">
        <f>+I26+I27+I28+I30+I32+I34+I33</f>
        <v>369401.52</v>
      </c>
      <c r="J25" s="201">
        <f>+J26+J28+J30+J32+J34+J33</f>
        <v>29690.37</v>
      </c>
      <c r="K25" s="201">
        <f>+K26+K28+K30+K32+K34+K33</f>
        <v>29516</v>
      </c>
      <c r="L25" s="201">
        <f>+L26+L27+L28+L29+L30+L31+L32+L33+L34</f>
        <v>315153.09999999998</v>
      </c>
      <c r="M25" s="201">
        <f>+M26+M27+M28+M30+M32+M34+M33</f>
        <v>524805.19999999995</v>
      </c>
      <c r="N25" s="201">
        <f>+N26+N28+N30+N32+N34+N33+N27+N29</f>
        <v>637654.63</v>
      </c>
      <c r="O25" s="202">
        <f>+O26+O28+O30+O32+O34</f>
        <v>1689972.12</v>
      </c>
    </row>
    <row r="26" spans="1:15" s="176" customFormat="1" ht="30" x14ac:dyDescent="0.25">
      <c r="A26" s="178" t="s">
        <v>17</v>
      </c>
      <c r="C26" s="198">
        <v>0</v>
      </c>
      <c r="D26" s="196"/>
      <c r="E26" s="196"/>
      <c r="F26" s="196"/>
      <c r="G26" s="196">
        <v>5802.9</v>
      </c>
      <c r="H26" s="196"/>
      <c r="I26" s="196"/>
      <c r="J26" s="196">
        <f>'Ejecución 2021'!Q134</f>
        <v>17033.5</v>
      </c>
      <c r="K26" s="196">
        <f>'Ejecución 2021'!R134</f>
        <v>13999</v>
      </c>
      <c r="L26" s="196">
        <f>'Ejecución 2021'!S134</f>
        <v>8085.27</v>
      </c>
      <c r="M26" s="196">
        <f>'Ejecución 2021'!T134</f>
        <v>11948</v>
      </c>
      <c r="N26" s="196">
        <f>'Ejecución 2021'!U134</f>
        <v>8972.5</v>
      </c>
      <c r="O26" s="197">
        <f>SUM(C26:N26)</f>
        <v>65841.17</v>
      </c>
    </row>
    <row r="27" spans="1:15" s="176" customFormat="1" x14ac:dyDescent="0.25">
      <c r="A27" s="178" t="s">
        <v>18</v>
      </c>
      <c r="C27" s="198">
        <v>0</v>
      </c>
      <c r="D27" s="196"/>
      <c r="E27" s="199"/>
      <c r="F27" s="196"/>
      <c r="G27" s="196"/>
      <c r="H27" s="196"/>
      <c r="I27" s="196"/>
      <c r="J27" s="196">
        <f>'Ejecución 2021'!Q142</f>
        <v>0</v>
      </c>
      <c r="K27" s="196">
        <f>'Ejecución 2021'!R142</f>
        <v>0</v>
      </c>
      <c r="L27" s="196">
        <f>'Ejecución 2021'!S142</f>
        <v>0</v>
      </c>
      <c r="M27" s="196">
        <f>'Ejecución 2021'!T142</f>
        <v>0</v>
      </c>
      <c r="N27" s="196">
        <f>'Ejecución 2021'!U142</f>
        <v>0</v>
      </c>
      <c r="O27" s="197">
        <f>SUM(C27:N27)</f>
        <v>0</v>
      </c>
    </row>
    <row r="28" spans="1:15" s="176" customFormat="1" ht="30" x14ac:dyDescent="0.25">
      <c r="A28" s="178" t="s">
        <v>19</v>
      </c>
      <c r="C28" s="198">
        <v>0</v>
      </c>
      <c r="D28" s="196"/>
      <c r="E28" s="196">
        <v>49560</v>
      </c>
      <c r="F28" s="196"/>
      <c r="G28" s="196"/>
      <c r="H28" s="196"/>
      <c r="I28" s="196"/>
      <c r="J28" s="196">
        <f>'Ejecución 2021'!Q148</f>
        <v>2005.75</v>
      </c>
      <c r="K28" s="196">
        <f>'Ejecución 2021'!R148</f>
        <v>0</v>
      </c>
      <c r="L28" s="196">
        <f>'Ejecución 2021'!S148</f>
        <v>53569.88</v>
      </c>
      <c r="M28" s="196">
        <f>'Ejecución 2021'!T148</f>
        <v>28261</v>
      </c>
      <c r="N28" s="196">
        <f>'Ejecución 2021'!U148</f>
        <v>60524.57</v>
      </c>
      <c r="O28" s="197">
        <f>SUM(C28:N28)</f>
        <v>193921.2</v>
      </c>
    </row>
    <row r="29" spans="1:15" s="176" customFormat="1" x14ac:dyDescent="0.25">
      <c r="A29" s="178" t="s">
        <v>20</v>
      </c>
      <c r="C29" s="198"/>
      <c r="D29" s="199"/>
      <c r="E29" s="199"/>
      <c r="F29" s="199"/>
      <c r="G29" s="199"/>
      <c r="H29" s="199"/>
      <c r="I29" s="199"/>
      <c r="J29" s="196">
        <f>'Ejecución 2021'!Q154</f>
        <v>0</v>
      </c>
      <c r="K29" s="196">
        <f>'Ejecución 2021'!R154</f>
        <v>0</v>
      </c>
      <c r="L29" s="196">
        <f>'Ejecución 2021'!S154</f>
        <v>0</v>
      </c>
      <c r="M29" s="196">
        <f>'Ejecución 2021'!T154</f>
        <v>0</v>
      </c>
      <c r="N29" s="196">
        <f>'Ejecución 2021'!U154</f>
        <v>0</v>
      </c>
      <c r="O29" s="197">
        <f>SUM(C29:N29)</f>
        <v>0</v>
      </c>
    </row>
    <row r="30" spans="1:15" s="176" customFormat="1" ht="30" x14ac:dyDescent="0.25">
      <c r="A30" s="178" t="s">
        <v>21</v>
      </c>
      <c r="C30" s="198">
        <v>0</v>
      </c>
      <c r="D30" s="196"/>
      <c r="E30" s="199"/>
      <c r="F30" s="196">
        <v>58500</v>
      </c>
      <c r="G30" s="199"/>
      <c r="H30" s="196"/>
      <c r="I30" s="196"/>
      <c r="J30" s="196">
        <f>'Ejecución 2021'!Q157</f>
        <v>0</v>
      </c>
      <c r="K30" s="196">
        <f>'Ejecución 2021'!R157</f>
        <v>0</v>
      </c>
      <c r="L30" s="196">
        <f>'Ejecución 2021'!S157</f>
        <v>260.77999999999997</v>
      </c>
      <c r="M30" s="196">
        <f>'Ejecución 2021'!T157</f>
        <v>0</v>
      </c>
      <c r="N30" s="196">
        <f>'Ejecución 2021'!U157</f>
        <v>83662.38</v>
      </c>
      <c r="O30" s="197">
        <f>SUM(C30:N30)</f>
        <v>142423.16</v>
      </c>
    </row>
    <row r="31" spans="1:15" s="176" customFormat="1" ht="30" x14ac:dyDescent="0.25">
      <c r="A31" s="178" t="s">
        <v>22</v>
      </c>
      <c r="C31" s="198"/>
      <c r="D31" s="199"/>
      <c r="E31" s="199"/>
      <c r="F31" s="196"/>
      <c r="G31" s="199"/>
      <c r="H31" s="199"/>
      <c r="I31" s="199"/>
      <c r="J31" s="196">
        <f>'Ejecución 2021'!Q162</f>
        <v>0</v>
      </c>
      <c r="K31" s="196">
        <f>'Ejecución 2021'!R162</f>
        <v>0</v>
      </c>
      <c r="L31" s="196">
        <f>'Ejecución 2021'!S162</f>
        <v>0</v>
      </c>
      <c r="M31" s="196">
        <f>'Ejecución 2021'!T162</f>
        <v>0</v>
      </c>
      <c r="N31" s="196">
        <f>'Ejecución 2021'!U162</f>
        <v>0</v>
      </c>
      <c r="O31" s="197">
        <f t="shared" si="4"/>
        <v>0</v>
      </c>
    </row>
    <row r="32" spans="1:15" s="176" customFormat="1" ht="30" x14ac:dyDescent="0.25">
      <c r="A32" s="178" t="s">
        <v>23</v>
      </c>
      <c r="C32" s="198">
        <v>0</v>
      </c>
      <c r="D32" s="196"/>
      <c r="E32" s="196"/>
      <c r="F32" s="196"/>
      <c r="G32" s="196">
        <v>140000</v>
      </c>
      <c r="H32" s="196">
        <v>280000</v>
      </c>
      <c r="I32" s="196">
        <v>280000</v>
      </c>
      <c r="J32" s="196">
        <f>'Ejecución 2021'!Q165</f>
        <v>0</v>
      </c>
      <c r="K32" s="196">
        <f>'Ejecución 2021'!R165</f>
        <v>0</v>
      </c>
      <c r="L32" s="196">
        <f>'Ejecución 2021'!S165</f>
        <v>194087.52</v>
      </c>
      <c r="M32" s="196">
        <f>'Ejecución 2021'!T165</f>
        <v>383068</v>
      </c>
      <c r="N32" s="196">
        <f>'Ejecución 2021'!U165</f>
        <v>380000</v>
      </c>
      <c r="O32" s="197">
        <f>SUM(D32:L32)</f>
        <v>894087.52</v>
      </c>
    </row>
    <row r="33" spans="1:15" s="176" customFormat="1" ht="45" x14ac:dyDescent="0.25">
      <c r="A33" s="178" t="s">
        <v>42</v>
      </c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7">
        <f t="shared" si="4"/>
        <v>0</v>
      </c>
    </row>
    <row r="34" spans="1:15" s="176" customFormat="1" x14ac:dyDescent="0.25">
      <c r="A34" s="178" t="s">
        <v>24</v>
      </c>
      <c r="C34" s="198">
        <v>0</v>
      </c>
      <c r="D34" s="196"/>
      <c r="E34" s="196">
        <v>2832</v>
      </c>
      <c r="F34" s="196">
        <v>6136</v>
      </c>
      <c r="G34" s="196">
        <v>3988.4</v>
      </c>
      <c r="H34" s="196"/>
      <c r="I34" s="196">
        <f>74764.8+6136+8500.72</f>
        <v>89401.52</v>
      </c>
      <c r="J34" s="196">
        <f>'Ejecución 2021'!Q176</f>
        <v>10651.119999999999</v>
      </c>
      <c r="K34" s="196">
        <f>'Ejecución 2021'!R176</f>
        <v>15517</v>
      </c>
      <c r="L34" s="196">
        <f>'Ejecución 2021'!S176</f>
        <v>59149.649999999994</v>
      </c>
      <c r="M34" s="196">
        <f>'Ejecución 2021'!T176</f>
        <v>101528.2</v>
      </c>
      <c r="N34" s="196">
        <f>'Ejecución 2021'!U176</f>
        <v>104495.18000000001</v>
      </c>
      <c r="O34" s="197">
        <f>SUM(C34:N34)</f>
        <v>393699.07</v>
      </c>
    </row>
    <row r="35" spans="1:15" s="176" customFormat="1" x14ac:dyDescent="0.25">
      <c r="A35" s="174" t="s">
        <v>25</v>
      </c>
      <c r="C35" s="204">
        <f>+C36+C37+C38+C40+C41+C42</f>
        <v>0</v>
      </c>
      <c r="D35" s="205">
        <f t="shared" ref="D35:L35" si="6">+D36+D37+D38+D40+D41+D42</f>
        <v>0</v>
      </c>
      <c r="E35" s="205">
        <f t="shared" si="6"/>
        <v>0</v>
      </c>
      <c r="F35" s="205">
        <f t="shared" si="6"/>
        <v>0</v>
      </c>
      <c r="G35" s="205">
        <f t="shared" si="6"/>
        <v>0</v>
      </c>
      <c r="H35" s="205">
        <f t="shared" si="6"/>
        <v>0</v>
      </c>
      <c r="I35" s="205">
        <f t="shared" si="6"/>
        <v>0</v>
      </c>
      <c r="J35" s="205">
        <f t="shared" si="6"/>
        <v>0</v>
      </c>
      <c r="K35" s="205">
        <f t="shared" si="6"/>
        <v>0</v>
      </c>
      <c r="L35" s="205">
        <f t="shared" si="6"/>
        <v>0</v>
      </c>
      <c r="M35" s="205">
        <v>0</v>
      </c>
      <c r="N35" s="205">
        <v>0</v>
      </c>
      <c r="O35" s="206">
        <f t="shared" ref="O35" si="7">+O36+O37+O38+O40+O41+O42</f>
        <v>0</v>
      </c>
    </row>
    <row r="36" spans="1:15" s="176" customFormat="1" ht="30" x14ac:dyDescent="0.25">
      <c r="A36" s="178" t="s">
        <v>26</v>
      </c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7">
        <f>SUM(C36:L36)</f>
        <v>0</v>
      </c>
    </row>
    <row r="37" spans="1:15" s="176" customFormat="1" ht="30" x14ac:dyDescent="0.25">
      <c r="A37" s="178" t="s">
        <v>43</v>
      </c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7">
        <f t="shared" si="4"/>
        <v>0</v>
      </c>
    </row>
    <row r="38" spans="1:15" s="176" customFormat="1" ht="30" x14ac:dyDescent="0.25">
      <c r="A38" s="178" t="s">
        <v>44</v>
      </c>
      <c r="C38" s="198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7">
        <f>SUM(C38:L38)</f>
        <v>0</v>
      </c>
    </row>
    <row r="39" spans="1:15" s="176" customFormat="1" ht="30" x14ac:dyDescent="0.25">
      <c r="A39" s="178" t="s">
        <v>45</v>
      </c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7">
        <f t="shared" si="4"/>
        <v>0</v>
      </c>
    </row>
    <row r="40" spans="1:15" s="176" customFormat="1" ht="30" x14ac:dyDescent="0.25">
      <c r="A40" s="178" t="s">
        <v>46</v>
      </c>
      <c r="C40" s="198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7">
        <f t="shared" si="4"/>
        <v>0</v>
      </c>
    </row>
    <row r="41" spans="1:15" s="176" customFormat="1" ht="30" x14ac:dyDescent="0.25">
      <c r="A41" s="178" t="s">
        <v>27</v>
      </c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7">
        <f t="shared" si="4"/>
        <v>0</v>
      </c>
    </row>
    <row r="42" spans="1:15" s="176" customFormat="1" ht="30" x14ac:dyDescent="0.25">
      <c r="A42" s="178" t="s">
        <v>47</v>
      </c>
      <c r="C42" s="19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7">
        <f t="shared" si="4"/>
        <v>0</v>
      </c>
    </row>
    <row r="43" spans="1:15" s="176" customFormat="1" x14ac:dyDescent="0.25">
      <c r="A43" s="174" t="s">
        <v>48</v>
      </c>
      <c r="C43" s="204">
        <f>+C44+C45+C46+C47+C48+C49+C50</f>
        <v>0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7">
        <f t="shared" si="4"/>
        <v>0</v>
      </c>
    </row>
    <row r="44" spans="1:15" s="176" customFormat="1" ht="30" x14ac:dyDescent="0.25">
      <c r="A44" s="178" t="s">
        <v>49</v>
      </c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7">
        <f t="shared" si="4"/>
        <v>0</v>
      </c>
    </row>
    <row r="45" spans="1:15" s="176" customFormat="1" ht="30" x14ac:dyDescent="0.25">
      <c r="A45" s="178" t="s">
        <v>50</v>
      </c>
      <c r="C45" s="198">
        <v>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7">
        <f t="shared" si="4"/>
        <v>0</v>
      </c>
    </row>
    <row r="46" spans="1:15" s="176" customFormat="1" ht="30" x14ac:dyDescent="0.25">
      <c r="A46" s="178" t="s">
        <v>51</v>
      </c>
      <c r="C46" s="198">
        <v>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7">
        <f t="shared" si="4"/>
        <v>0</v>
      </c>
    </row>
    <row r="47" spans="1:15" s="176" customFormat="1" ht="30" x14ac:dyDescent="0.25">
      <c r="A47" s="178" t="s">
        <v>52</v>
      </c>
      <c r="C47" s="198">
        <v>0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7">
        <f t="shared" si="4"/>
        <v>0</v>
      </c>
    </row>
    <row r="48" spans="1:15" s="176" customFormat="1" ht="30" x14ac:dyDescent="0.25">
      <c r="A48" s="178" t="s">
        <v>53</v>
      </c>
      <c r="C48" s="198">
        <v>0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7">
        <f t="shared" si="4"/>
        <v>0</v>
      </c>
    </row>
    <row r="49" spans="1:18" s="176" customFormat="1" ht="30" x14ac:dyDescent="0.25">
      <c r="A49" s="178" t="s">
        <v>54</v>
      </c>
      <c r="C49" s="198">
        <v>0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7">
        <f t="shared" si="4"/>
        <v>0</v>
      </c>
    </row>
    <row r="50" spans="1:18" s="176" customFormat="1" ht="30" x14ac:dyDescent="0.25">
      <c r="A50" s="178" t="s">
        <v>55</v>
      </c>
      <c r="C50" s="195">
        <v>0</v>
      </c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7">
        <f t="shared" si="4"/>
        <v>0</v>
      </c>
    </row>
    <row r="51" spans="1:18" s="176" customFormat="1" ht="30" x14ac:dyDescent="0.25">
      <c r="A51" s="174" t="s">
        <v>28</v>
      </c>
      <c r="C51" s="200">
        <f>+C52+C53+C54+C55+C56+C57+C58+C59+C60</f>
        <v>0</v>
      </c>
      <c r="D51" s="205">
        <f t="shared" ref="D51:N51" si="8">+D52+D53+D54+D55+D56+D57+D58+D59+D60</f>
        <v>0</v>
      </c>
      <c r="E51" s="205">
        <f t="shared" si="8"/>
        <v>0</v>
      </c>
      <c r="F51" s="205">
        <f>+F52+F53+F54+F55+G57+F57+F58+F59+F60</f>
        <v>0</v>
      </c>
      <c r="G51" s="205">
        <f t="shared" ref="G51:H51" si="9">+G52+G53+G54+G55+H57+G57+G58+G59+G60</f>
        <v>0</v>
      </c>
      <c r="H51" s="205">
        <f t="shared" si="9"/>
        <v>0</v>
      </c>
      <c r="I51" s="201">
        <f t="shared" si="8"/>
        <v>124624.52</v>
      </c>
      <c r="J51" s="201">
        <f t="shared" si="8"/>
        <v>49465.599999999999</v>
      </c>
      <c r="K51" s="201">
        <f t="shared" si="8"/>
        <v>97468</v>
      </c>
      <c r="L51" s="201">
        <f t="shared" si="8"/>
        <v>94400</v>
      </c>
      <c r="M51" s="205">
        <f t="shared" si="8"/>
        <v>166930.18</v>
      </c>
      <c r="N51" s="205">
        <f t="shared" si="8"/>
        <v>86027.9</v>
      </c>
      <c r="O51" s="202">
        <f>+O52+O56+O54</f>
        <v>469686.02</v>
      </c>
      <c r="P51" s="181" t="s">
        <v>113</v>
      </c>
      <c r="Q51" s="182" t="s">
        <v>113</v>
      </c>
      <c r="R51" s="182" t="s">
        <v>113</v>
      </c>
    </row>
    <row r="52" spans="1:18" s="176" customFormat="1" x14ac:dyDescent="0.25">
      <c r="A52" s="178" t="s">
        <v>29</v>
      </c>
      <c r="C52" s="195"/>
      <c r="D52" s="199"/>
      <c r="E52" s="196"/>
      <c r="F52" s="196"/>
      <c r="G52" s="196"/>
      <c r="H52" s="196"/>
      <c r="I52" s="196">
        <v>124624.52</v>
      </c>
      <c r="J52" s="196">
        <f>'Ejecución 2021'!Q204</f>
        <v>49465.599999999999</v>
      </c>
      <c r="K52" s="196">
        <f>'Ejecución 2021'!R204</f>
        <v>97468</v>
      </c>
      <c r="L52" s="196">
        <f>'Ejecución 2021'!S204</f>
        <v>0</v>
      </c>
      <c r="M52" s="196">
        <f>'Ejecución 2021'!T204</f>
        <v>17700</v>
      </c>
      <c r="N52" s="196">
        <f>'Ejecución 2021'!U204</f>
        <v>86027.9</v>
      </c>
      <c r="O52" s="197">
        <f>SUM(C52:N52)</f>
        <v>375286.02</v>
      </c>
    </row>
    <row r="53" spans="1:18" s="176" customFormat="1" ht="30" x14ac:dyDescent="0.25">
      <c r="A53" s="178" t="s">
        <v>30</v>
      </c>
      <c r="C53" s="198"/>
      <c r="D53" s="199"/>
      <c r="E53" s="196"/>
      <c r="F53" s="196"/>
      <c r="G53" s="196"/>
      <c r="H53" s="196"/>
      <c r="I53" s="196"/>
      <c r="J53" s="196">
        <f>'Ejecución 2021'!Q211</f>
        <v>0</v>
      </c>
      <c r="K53" s="196">
        <f>'Ejecución 2021'!R211</f>
        <v>0</v>
      </c>
      <c r="L53" s="196">
        <f>'Ejecución 2021'!S211</f>
        <v>0</v>
      </c>
      <c r="M53" s="196">
        <f>'Ejecución 2021'!T211</f>
        <v>0</v>
      </c>
      <c r="N53" s="196">
        <f>'Ejecución 2021'!U211</f>
        <v>0</v>
      </c>
      <c r="O53" s="197">
        <f t="shared" si="4"/>
        <v>0</v>
      </c>
    </row>
    <row r="54" spans="1:18" s="176" customFormat="1" ht="30" x14ac:dyDescent="0.25">
      <c r="A54" s="178" t="s">
        <v>31</v>
      </c>
      <c r="C54" s="198"/>
      <c r="D54" s="199"/>
      <c r="E54" s="199"/>
      <c r="F54" s="199"/>
      <c r="G54" s="199"/>
      <c r="H54" s="196"/>
      <c r="I54" s="199"/>
      <c r="J54" s="196"/>
      <c r="K54" s="196"/>
      <c r="L54" s="196"/>
      <c r="M54" s="196"/>
      <c r="N54" s="196"/>
      <c r="O54" s="197">
        <f t="shared" si="4"/>
        <v>0</v>
      </c>
    </row>
    <row r="55" spans="1:18" s="176" customFormat="1" ht="30" x14ac:dyDescent="0.25">
      <c r="A55" s="178" t="s">
        <v>32</v>
      </c>
      <c r="C55" s="198"/>
      <c r="D55" s="199"/>
      <c r="E55" s="199"/>
      <c r="F55" s="199"/>
      <c r="G55" s="199"/>
      <c r="H55" s="199"/>
      <c r="I55" s="199"/>
      <c r="J55" s="196"/>
      <c r="K55" s="196"/>
      <c r="L55" s="196"/>
      <c r="M55" s="196"/>
      <c r="N55" s="196"/>
      <c r="O55" s="197">
        <f t="shared" si="4"/>
        <v>0</v>
      </c>
    </row>
    <row r="56" spans="1:18" s="176" customFormat="1" ht="30" x14ac:dyDescent="0.25">
      <c r="A56" s="178" t="s">
        <v>33</v>
      </c>
      <c r="C56" s="198"/>
      <c r="D56" s="199"/>
      <c r="E56" s="196"/>
      <c r="F56" s="196"/>
      <c r="G56" s="196"/>
      <c r="H56" s="196"/>
      <c r="I56" s="196"/>
      <c r="J56" s="196">
        <f>'Ejecución 2021'!Q214</f>
        <v>0</v>
      </c>
      <c r="K56" s="196">
        <f>'Ejecución 2021'!R214</f>
        <v>0</v>
      </c>
      <c r="L56" s="196">
        <f>'Ejecución 2021'!S214</f>
        <v>94400</v>
      </c>
      <c r="M56" s="196">
        <f>'Ejecución 2021'!T214</f>
        <v>19824</v>
      </c>
      <c r="N56" s="196">
        <f>'Ejecución 2021'!U214</f>
        <v>0</v>
      </c>
      <c r="O56" s="197">
        <f t="shared" si="4"/>
        <v>94400</v>
      </c>
    </row>
    <row r="57" spans="1:18" s="176" customFormat="1" ht="30" x14ac:dyDescent="0.25">
      <c r="A57" s="178" t="s">
        <v>56</v>
      </c>
      <c r="C57" s="198"/>
      <c r="D57" s="199"/>
      <c r="E57" s="196"/>
      <c r="F57" s="196"/>
      <c r="G57" s="196"/>
      <c r="H57" s="196"/>
      <c r="I57" s="196"/>
      <c r="J57" s="196">
        <f>'Ejecución 2021'!Q219</f>
        <v>0</v>
      </c>
      <c r="K57" s="196">
        <f>'Ejecución 2021'!R219</f>
        <v>0</v>
      </c>
      <c r="L57" s="196">
        <f>'Ejecución 2021'!S219</f>
        <v>0</v>
      </c>
      <c r="M57" s="196">
        <f>'Ejecución 2021'!T219</f>
        <v>129406.18</v>
      </c>
      <c r="N57" s="196">
        <f>'Ejecución 2021'!U219</f>
        <v>0</v>
      </c>
      <c r="O57" s="197">
        <f t="shared" si="4"/>
        <v>0</v>
      </c>
    </row>
    <row r="58" spans="1:18" s="176" customFormat="1" ht="30" x14ac:dyDescent="0.25">
      <c r="A58" s="178" t="s">
        <v>57</v>
      </c>
      <c r="C58" s="198"/>
      <c r="D58" s="199"/>
      <c r="E58" s="199"/>
      <c r="F58" s="199"/>
      <c r="G58" s="199"/>
      <c r="H58" s="199"/>
      <c r="I58" s="199"/>
      <c r="J58" s="196"/>
      <c r="K58" s="196"/>
      <c r="L58" s="196"/>
      <c r="M58" s="196"/>
      <c r="N58" s="196"/>
      <c r="O58" s="197">
        <f t="shared" si="4"/>
        <v>0</v>
      </c>
    </row>
    <row r="59" spans="1:18" s="176" customFormat="1" x14ac:dyDescent="0.25">
      <c r="A59" s="178" t="s">
        <v>34</v>
      </c>
      <c r="C59" s="198"/>
      <c r="D59" s="199"/>
      <c r="E59" s="199"/>
      <c r="F59" s="199"/>
      <c r="G59" s="199"/>
      <c r="H59" s="199"/>
      <c r="I59" s="199"/>
      <c r="J59" s="196">
        <f>'Ejecución 2021'!Q222</f>
        <v>0</v>
      </c>
      <c r="K59" s="196">
        <f>'Ejecución 2021'!R222</f>
        <v>0</v>
      </c>
      <c r="L59" s="196">
        <f>'Ejecución 2021'!S222</f>
        <v>0</v>
      </c>
      <c r="M59" s="196">
        <f>'Ejecución 2021'!T222</f>
        <v>0</v>
      </c>
      <c r="N59" s="196">
        <f>'Ejecución 2021'!U222</f>
        <v>0</v>
      </c>
      <c r="O59" s="197"/>
    </row>
    <row r="60" spans="1:18" s="176" customFormat="1" ht="45" x14ac:dyDescent="0.25">
      <c r="A60" s="178" t="s">
        <v>58</v>
      </c>
      <c r="C60" s="198"/>
      <c r="D60" s="199"/>
      <c r="E60" s="199"/>
      <c r="F60" s="199"/>
      <c r="G60" s="199"/>
      <c r="H60" s="199"/>
      <c r="I60" s="199"/>
      <c r="J60" s="196"/>
      <c r="K60" s="196"/>
      <c r="L60" s="196"/>
      <c r="M60" s="196"/>
      <c r="N60" s="196"/>
      <c r="O60" s="197">
        <f t="shared" si="4"/>
        <v>0</v>
      </c>
    </row>
    <row r="61" spans="1:18" s="176" customFormat="1" x14ac:dyDescent="0.25">
      <c r="A61" s="174" t="s">
        <v>59</v>
      </c>
      <c r="C61" s="204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7">
        <f t="shared" si="4"/>
        <v>0</v>
      </c>
    </row>
    <row r="62" spans="1:18" s="176" customFormat="1" x14ac:dyDescent="0.25">
      <c r="A62" s="178" t="s">
        <v>60</v>
      </c>
      <c r="C62" s="198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7">
        <f t="shared" si="4"/>
        <v>0</v>
      </c>
    </row>
    <row r="63" spans="1:18" s="176" customFormat="1" x14ac:dyDescent="0.25">
      <c r="A63" s="178" t="s">
        <v>61</v>
      </c>
      <c r="C63" s="19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7">
        <f t="shared" si="4"/>
        <v>0</v>
      </c>
    </row>
    <row r="64" spans="1:18" s="176" customFormat="1" ht="30" x14ac:dyDescent="0.25">
      <c r="A64" s="178" t="s">
        <v>62</v>
      </c>
      <c r="C64" s="198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7">
        <f t="shared" si="4"/>
        <v>0</v>
      </c>
    </row>
    <row r="65" spans="1:18" s="176" customFormat="1" ht="45" x14ac:dyDescent="0.25">
      <c r="A65" s="178" t="s">
        <v>63</v>
      </c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7">
        <f t="shared" si="4"/>
        <v>0</v>
      </c>
    </row>
    <row r="66" spans="1:18" s="176" customFormat="1" ht="30" x14ac:dyDescent="0.25">
      <c r="A66" s="174" t="s">
        <v>64</v>
      </c>
      <c r="C66" s="204">
        <f>+C67+C68</f>
        <v>0</v>
      </c>
      <c r="D66" s="205">
        <f t="shared" ref="D66:O66" si="10">+D67+D68</f>
        <v>0</v>
      </c>
      <c r="E66" s="205">
        <f t="shared" si="10"/>
        <v>0</v>
      </c>
      <c r="F66" s="205">
        <f t="shared" si="10"/>
        <v>0</v>
      </c>
      <c r="G66" s="205">
        <f t="shared" si="10"/>
        <v>0</v>
      </c>
      <c r="H66" s="205">
        <f t="shared" si="10"/>
        <v>0</v>
      </c>
      <c r="I66" s="205">
        <f t="shared" si="10"/>
        <v>0</v>
      </c>
      <c r="J66" s="205">
        <f t="shared" si="10"/>
        <v>0</v>
      </c>
      <c r="K66" s="205">
        <f t="shared" si="10"/>
        <v>0</v>
      </c>
      <c r="L66" s="205">
        <f t="shared" si="10"/>
        <v>0</v>
      </c>
      <c r="M66" s="205">
        <v>0</v>
      </c>
      <c r="N66" s="205">
        <v>0</v>
      </c>
      <c r="O66" s="206">
        <f t="shared" si="10"/>
        <v>0</v>
      </c>
      <c r="Q66" s="182"/>
      <c r="R66" s="182"/>
    </row>
    <row r="67" spans="1:18" s="176" customFormat="1" x14ac:dyDescent="0.25">
      <c r="A67" s="178" t="s">
        <v>65</v>
      </c>
      <c r="C67" s="198">
        <v>0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7">
        <f t="shared" si="4"/>
        <v>0</v>
      </c>
    </row>
    <row r="68" spans="1:18" s="176" customFormat="1" ht="30" x14ac:dyDescent="0.25">
      <c r="A68" s="178" t="s">
        <v>66</v>
      </c>
      <c r="C68" s="195">
        <v>0</v>
      </c>
      <c r="D68" s="196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7">
        <f t="shared" si="4"/>
        <v>0</v>
      </c>
    </row>
    <row r="69" spans="1:18" s="176" customFormat="1" x14ac:dyDescent="0.25">
      <c r="A69" s="174" t="s">
        <v>67</v>
      </c>
      <c r="C69" s="200"/>
      <c r="D69" s="201">
        <f t="shared" ref="D69:H69" si="11">+D70+D71+D72</f>
        <v>0</v>
      </c>
      <c r="E69" s="201">
        <f t="shared" si="11"/>
        <v>0</v>
      </c>
      <c r="F69" s="201">
        <f t="shared" si="11"/>
        <v>0</v>
      </c>
      <c r="G69" s="201">
        <f t="shared" si="11"/>
        <v>0</v>
      </c>
      <c r="H69" s="201">
        <f t="shared" si="11"/>
        <v>0</v>
      </c>
      <c r="I69" s="201">
        <f>+I70+I71+I72</f>
        <v>0</v>
      </c>
      <c r="J69" s="201">
        <f t="shared" ref="J69:O69" si="12">+J70+J71+J72</f>
        <v>0</v>
      </c>
      <c r="K69" s="201">
        <f t="shared" si="12"/>
        <v>0</v>
      </c>
      <c r="L69" s="201">
        <f t="shared" si="12"/>
        <v>0</v>
      </c>
      <c r="M69" s="201">
        <v>0</v>
      </c>
      <c r="N69" s="201">
        <v>0</v>
      </c>
      <c r="O69" s="202">
        <f t="shared" si="12"/>
        <v>0</v>
      </c>
    </row>
    <row r="70" spans="1:18" s="176" customFormat="1" ht="30" x14ac:dyDescent="0.25">
      <c r="A70" s="178" t="s">
        <v>68</v>
      </c>
      <c r="C70" s="195">
        <v>0</v>
      </c>
      <c r="D70" s="196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7">
        <f t="shared" si="4"/>
        <v>0</v>
      </c>
    </row>
    <row r="71" spans="1:18" s="176" customFormat="1" ht="30" x14ac:dyDescent="0.25">
      <c r="A71" s="178" t="s">
        <v>69</v>
      </c>
      <c r="C71" s="195">
        <v>0</v>
      </c>
      <c r="D71" s="196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7">
        <f t="shared" si="4"/>
        <v>0</v>
      </c>
    </row>
    <row r="72" spans="1:18" s="176" customFormat="1" ht="30" x14ac:dyDescent="0.25">
      <c r="A72" s="178" t="s">
        <v>70</v>
      </c>
      <c r="C72" s="195">
        <v>0</v>
      </c>
      <c r="D72" s="196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7">
        <f t="shared" si="4"/>
        <v>0</v>
      </c>
    </row>
    <row r="73" spans="1:18" s="176" customFormat="1" x14ac:dyDescent="0.25">
      <c r="A73" s="183" t="s">
        <v>35</v>
      </c>
      <c r="B73" s="184"/>
      <c r="C73" s="207">
        <f>+C9+C15+C25+C35</f>
        <v>3619243.8499999996</v>
      </c>
      <c r="D73" s="208">
        <f>+D9+D15+D25+D35+D51</f>
        <v>3716086.6499999994</v>
      </c>
      <c r="E73" s="208">
        <f>+E9+E15+E25+E35+E51</f>
        <v>3763671.3599999994</v>
      </c>
      <c r="F73" s="208">
        <f>+F9+F15+F25+F35+F51</f>
        <v>3808391.82</v>
      </c>
      <c r="G73" s="208">
        <f>+G9+G15+G25+G35+G51</f>
        <v>3776104.8</v>
      </c>
      <c r="H73" s="209">
        <f t="shared" ref="H73:N73" si="13">+H9+H15+H25+H51+H66+H69</f>
        <v>3975946.1999999997</v>
      </c>
      <c r="I73" s="209">
        <f>I9+I15+I25+I51</f>
        <v>4450346.0530000003</v>
      </c>
      <c r="J73" s="209">
        <f>J9+J15+J25+J51+J24</f>
        <v>4320961.7399999993</v>
      </c>
      <c r="K73" s="209">
        <f>K9+K15+K25+K51</f>
        <v>4040924.19</v>
      </c>
      <c r="L73" s="209">
        <f>+L9+L15+L25+L51+L66+L69</f>
        <v>3939491.3200000003</v>
      </c>
      <c r="M73" s="209">
        <f t="shared" si="13"/>
        <v>4659121.45</v>
      </c>
      <c r="N73" s="209">
        <f t="shared" si="13"/>
        <v>4468672.1900000004</v>
      </c>
      <c r="O73" s="210">
        <f>+O9+O15+O25+O27+O51+O59+O66+O69</f>
        <v>47470474.463</v>
      </c>
    </row>
    <row r="74" spans="1:18" s="176" customFormat="1" x14ac:dyDescent="0.25">
      <c r="A74" s="185"/>
      <c r="C74" s="186"/>
      <c r="I74" s="175"/>
      <c r="J74" s="176" t="s">
        <v>113</v>
      </c>
      <c r="K74" s="176" t="s">
        <v>113</v>
      </c>
      <c r="L74" s="187"/>
      <c r="O74" s="187" t="s">
        <v>113</v>
      </c>
    </row>
    <row r="75" spans="1:18" s="176" customFormat="1" x14ac:dyDescent="0.25">
      <c r="A75" s="188" t="s">
        <v>71</v>
      </c>
      <c r="B75" s="189"/>
      <c r="C75" s="189"/>
      <c r="D75" s="189"/>
      <c r="E75" s="189">
        <v>0</v>
      </c>
      <c r="F75" s="189"/>
      <c r="G75" s="189"/>
      <c r="H75" s="189"/>
      <c r="I75" s="189"/>
      <c r="J75" s="189"/>
      <c r="K75" s="189"/>
      <c r="L75" s="189"/>
      <c r="M75" s="189"/>
      <c r="N75" s="189"/>
      <c r="O75" s="189"/>
    </row>
    <row r="76" spans="1:18" s="176" customFormat="1" ht="30" x14ac:dyDescent="0.25">
      <c r="A76" s="174" t="s">
        <v>72</v>
      </c>
      <c r="C76" s="181"/>
      <c r="E76" s="187">
        <v>0</v>
      </c>
      <c r="L76" s="187">
        <f>L73-3939491.32</f>
        <v>0</v>
      </c>
      <c r="M76" s="189"/>
    </row>
    <row r="77" spans="1:18" ht="30" x14ac:dyDescent="0.25">
      <c r="A77" s="8" t="s">
        <v>73</v>
      </c>
      <c r="C77" s="6"/>
      <c r="I77" s="20">
        <v>0</v>
      </c>
      <c r="M77" s="2"/>
    </row>
    <row r="78" spans="1:18" ht="30" x14ac:dyDescent="0.25">
      <c r="A78" s="8" t="s">
        <v>74</v>
      </c>
      <c r="C78" s="6"/>
    </row>
    <row r="79" spans="1:18" x14ac:dyDescent="0.25">
      <c r="A79" s="3" t="s">
        <v>75</v>
      </c>
      <c r="C79" s="4"/>
    </row>
    <row r="80" spans="1:18" ht="30" x14ac:dyDescent="0.25">
      <c r="A80" s="8" t="s">
        <v>76</v>
      </c>
      <c r="C80" s="6"/>
    </row>
    <row r="81" spans="1:15" ht="30" x14ac:dyDescent="0.25">
      <c r="A81" s="8" t="s">
        <v>77</v>
      </c>
      <c r="C81" s="6"/>
    </row>
    <row r="82" spans="1:15" ht="30" x14ac:dyDescent="0.25">
      <c r="A82" s="3" t="s">
        <v>78</v>
      </c>
      <c r="C82" s="4"/>
    </row>
    <row r="83" spans="1:15" ht="30" x14ac:dyDescent="0.25">
      <c r="A83" s="8" t="s">
        <v>79</v>
      </c>
      <c r="C83" s="6"/>
    </row>
    <row r="84" spans="1:15" x14ac:dyDescent="0.25">
      <c r="A84" s="10" t="s">
        <v>80</v>
      </c>
      <c r="B84" s="7"/>
      <c r="C84" s="29">
        <f>+C73</f>
        <v>3619243.8499999996</v>
      </c>
      <c r="D84" s="29">
        <f>+D73</f>
        <v>3716086.6499999994</v>
      </c>
      <c r="E84" s="29">
        <f>+E73</f>
        <v>3763671.3599999994</v>
      </c>
      <c r="F84" s="29">
        <f t="shared" ref="F84:O84" si="14">+F73</f>
        <v>3808391.82</v>
      </c>
      <c r="G84" s="29">
        <f t="shared" si="14"/>
        <v>3776104.8</v>
      </c>
      <c r="H84" s="29">
        <f>+H73</f>
        <v>3975946.1999999997</v>
      </c>
      <c r="I84" s="29">
        <f t="shared" si="14"/>
        <v>4450346.0530000003</v>
      </c>
      <c r="J84" s="29">
        <f>+J73</f>
        <v>4320961.7399999993</v>
      </c>
      <c r="K84" s="29">
        <f t="shared" si="14"/>
        <v>4040924.19</v>
      </c>
      <c r="L84" s="29">
        <f t="shared" si="14"/>
        <v>3939491.3200000003</v>
      </c>
      <c r="M84" s="29">
        <f t="shared" si="14"/>
        <v>4659121.45</v>
      </c>
      <c r="N84" s="29">
        <f t="shared" si="14"/>
        <v>4468672.1900000004</v>
      </c>
      <c r="O84" s="29">
        <f t="shared" si="14"/>
        <v>47470474.463</v>
      </c>
    </row>
    <row r="85" spans="1:15" x14ac:dyDescent="0.25">
      <c r="J85" s="162"/>
    </row>
    <row r="86" spans="1:15" ht="31.5" x14ac:dyDescent="0.25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63"/>
      <c r="K86" s="15"/>
      <c r="L86" s="15"/>
      <c r="M86" s="15"/>
      <c r="N86" s="15"/>
      <c r="O86" s="15"/>
    </row>
    <row r="87" spans="1:15" ht="18.75" x14ac:dyDescent="0.3">
      <c r="A87" s="9" t="s">
        <v>92</v>
      </c>
      <c r="M87" s="20"/>
    </row>
    <row r="88" spans="1:15" x14ac:dyDescent="0.25">
      <c r="A88" s="16" t="s">
        <v>94</v>
      </c>
      <c r="K88" s="20"/>
      <c r="L88" s="20"/>
    </row>
    <row r="89" spans="1:15" x14ac:dyDescent="0.25">
      <c r="A89" s="16" t="s">
        <v>95</v>
      </c>
      <c r="N89" s="20"/>
    </row>
    <row r="90" spans="1:15" x14ac:dyDescent="0.25">
      <c r="A90" s="16" t="s">
        <v>93</v>
      </c>
      <c r="M90" s="20"/>
    </row>
    <row r="91" spans="1:15" x14ac:dyDescent="0.25">
      <c r="A91" s="16" t="s">
        <v>96</v>
      </c>
      <c r="I91" s="39"/>
    </row>
    <row r="92" spans="1:15" x14ac:dyDescent="0.25">
      <c r="A92" s="16" t="s">
        <v>97</v>
      </c>
    </row>
    <row r="93" spans="1:15" x14ac:dyDescent="0.25">
      <c r="A93" s="16"/>
      <c r="C93" t="s">
        <v>339</v>
      </c>
      <c r="D93" t="s">
        <v>339</v>
      </c>
      <c r="E93" t="s">
        <v>339</v>
      </c>
      <c r="F93" t="s">
        <v>339</v>
      </c>
      <c r="G93" t="s">
        <v>339</v>
      </c>
      <c r="H93" t="s">
        <v>339</v>
      </c>
      <c r="I93" t="s">
        <v>339</v>
      </c>
      <c r="J93" s="43" t="s">
        <v>339</v>
      </c>
      <c r="K93" t="s">
        <v>339</v>
      </c>
      <c r="L93" t="s">
        <v>339</v>
      </c>
    </row>
    <row r="95" spans="1:15" x14ac:dyDescent="0.25">
      <c r="A95" t="s">
        <v>340</v>
      </c>
      <c r="L95" t="s">
        <v>107</v>
      </c>
    </row>
    <row r="99" spans="1:14" x14ac:dyDescent="0.25">
      <c r="A99" t="s">
        <v>119</v>
      </c>
      <c r="C99" t="s">
        <v>339</v>
      </c>
      <c r="L99" t="s">
        <v>120</v>
      </c>
    </row>
    <row r="100" spans="1:14" x14ac:dyDescent="0.25">
      <c r="A100" s="28" t="s">
        <v>124</v>
      </c>
      <c r="L100" s="28" t="s">
        <v>342</v>
      </c>
    </row>
    <row r="101" spans="1:14" x14ac:dyDescent="0.25">
      <c r="A101" t="s">
        <v>125</v>
      </c>
      <c r="L101" t="s">
        <v>123</v>
      </c>
    </row>
    <row r="102" spans="1:14" x14ac:dyDescent="0.25">
      <c r="A102" t="s">
        <v>341</v>
      </c>
    </row>
    <row r="103" spans="1:14" x14ac:dyDescent="0.25">
      <c r="A103" t="s">
        <v>108</v>
      </c>
    </row>
    <row r="104" spans="1:14" x14ac:dyDescent="0.25">
      <c r="A104" t="s">
        <v>109</v>
      </c>
    </row>
    <row r="105" spans="1:14" x14ac:dyDescent="0.25">
      <c r="A105" t="s">
        <v>130</v>
      </c>
      <c r="F105" t="s">
        <v>131</v>
      </c>
    </row>
    <row r="106" spans="1:14" x14ac:dyDescent="0.25">
      <c r="A106" s="28" t="s">
        <v>128</v>
      </c>
      <c r="G106" s="28" t="s">
        <v>126</v>
      </c>
    </row>
    <row r="107" spans="1:14" x14ac:dyDescent="0.25">
      <c r="A107" t="s">
        <v>129</v>
      </c>
      <c r="G107" t="s">
        <v>127</v>
      </c>
    </row>
    <row r="108" spans="1:14" s="215" customFormat="1" x14ac:dyDescent="0.25">
      <c r="C108" s="215">
        <f t="shared" ref="C108:N108" si="15">IF(AND(D84&gt;0,C84&gt;=1),1,2)</f>
        <v>1</v>
      </c>
      <c r="D108" s="215">
        <f t="shared" si="15"/>
        <v>1</v>
      </c>
      <c r="E108" s="215">
        <f t="shared" si="15"/>
        <v>1</v>
      </c>
      <c r="F108" s="215">
        <f t="shared" si="15"/>
        <v>1</v>
      </c>
      <c r="G108" s="215">
        <f t="shared" si="15"/>
        <v>1</v>
      </c>
      <c r="H108" s="215">
        <f t="shared" si="15"/>
        <v>1</v>
      </c>
      <c r="I108" s="215">
        <f t="shared" si="15"/>
        <v>1</v>
      </c>
      <c r="J108" s="215">
        <f t="shared" si="15"/>
        <v>1</v>
      </c>
      <c r="K108" s="215">
        <f t="shared" si="15"/>
        <v>1</v>
      </c>
      <c r="L108" s="215">
        <f t="shared" si="15"/>
        <v>1</v>
      </c>
      <c r="M108" s="215">
        <f t="shared" si="15"/>
        <v>1</v>
      </c>
      <c r="N108" s="215">
        <f t="shared" si="15"/>
        <v>1</v>
      </c>
    </row>
  </sheetData>
  <mergeCells count="4">
    <mergeCell ref="A1:O1"/>
    <mergeCell ref="A2:O2"/>
    <mergeCell ref="A3:O3"/>
    <mergeCell ref="A5:O5"/>
  </mergeCells>
  <phoneticPr fontId="28" type="noConversion"/>
  <pageMargins left="0.70866141732283472" right="0.70866141732283472" top="0.74803149606299213" bottom="0.74803149606299213" header="0.31496062992125984" footer="0.31496062992125984"/>
  <pageSetup scale="43" fitToHeight="0" orientation="landscape" r:id="rId1"/>
  <rowBreaks count="2" manualBreakCount="2">
    <brk id="39" max="16383" man="1"/>
    <brk id="68" max="16383" man="1"/>
  </rowBreaks>
  <colBreaks count="1" manualBreakCount="1">
    <brk id="16" max="10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7"/>
  <sheetViews>
    <sheetView showGridLines="0" view="pageBreakPreview" zoomScale="110" zoomScaleNormal="110" zoomScaleSheetLayoutView="110" workbookViewId="0">
      <selection activeCell="J12" sqref="J1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2.5703125" customWidth="1"/>
    <col min="4" max="4" width="13.140625" customWidth="1"/>
    <col min="5" max="8" width="13.140625" bestFit="1" customWidth="1"/>
    <col min="9" max="9" width="14.28515625" bestFit="1" customWidth="1"/>
    <col min="10" max="10" width="14" bestFit="1" customWidth="1"/>
    <col min="11" max="12" width="13.140625" bestFit="1" customWidth="1"/>
    <col min="13" max="13" width="13.140625" customWidth="1"/>
    <col min="14" max="14" width="18" customWidth="1"/>
    <col min="15" max="15" width="15.28515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3">
      <c r="A1" s="389" t="s">
        <v>104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Q1" s="9" t="s">
        <v>92</v>
      </c>
    </row>
    <row r="2" spans="1:28" ht="18.75" x14ac:dyDescent="0.25">
      <c r="A2" s="389" t="s">
        <v>105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Q2" s="16" t="s">
        <v>94</v>
      </c>
    </row>
    <row r="3" spans="1:28" ht="18.75" x14ac:dyDescent="0.25">
      <c r="A3" s="389" t="s">
        <v>121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Q3" s="16" t="s">
        <v>95</v>
      </c>
    </row>
    <row r="4" spans="1:28" ht="15.75" x14ac:dyDescent="0.25">
      <c r="A4" s="390" t="s">
        <v>139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Q4" s="16" t="s">
        <v>93</v>
      </c>
    </row>
    <row r="5" spans="1:28" x14ac:dyDescent="0.25">
      <c r="A5" s="394" t="s">
        <v>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Q5" s="16" t="s">
        <v>96</v>
      </c>
    </row>
    <row r="6" spans="1:28" x14ac:dyDescent="0.25">
      <c r="Q6" s="16" t="s">
        <v>97</v>
      </c>
    </row>
    <row r="7" spans="1:28" ht="15.75" x14ac:dyDescent="0.25">
      <c r="A7" s="13" t="s">
        <v>0</v>
      </c>
      <c r="B7" s="14" t="s">
        <v>103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115</v>
      </c>
      <c r="N7" s="14" t="s">
        <v>117</v>
      </c>
      <c r="O7" s="14" t="s">
        <v>114</v>
      </c>
      <c r="AA7" s="20">
        <f>SUM(S8:AA8)</f>
        <v>11.029108875781253</v>
      </c>
      <c r="AB7" s="20">
        <f>+AA7+AB8</f>
        <v>13.989108875781252</v>
      </c>
    </row>
    <row r="8" spans="1:28" ht="15.75" thickBot="1" x14ac:dyDescent="0.3">
      <c r="A8" s="1" t="s">
        <v>1</v>
      </c>
      <c r="B8" s="1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S8" s="18">
        <v>1</v>
      </c>
      <c r="T8" s="18">
        <v>1.05</v>
      </c>
      <c r="U8" s="18">
        <f>+T8*1.05</f>
        <v>1.1025</v>
      </c>
      <c r="V8" s="18">
        <f t="shared" ref="V8:Z8" si="0">+U8*1.05</f>
        <v>1.1576250000000001</v>
      </c>
      <c r="W8" s="18">
        <f t="shared" si="0"/>
        <v>1.2155062500000002</v>
      </c>
      <c r="X8" s="18">
        <f t="shared" si="0"/>
        <v>1.2762815625000004</v>
      </c>
      <c r="Y8" s="18">
        <f t="shared" si="0"/>
        <v>1.3400956406250004</v>
      </c>
      <c r="Z8" s="18">
        <f t="shared" si="0"/>
        <v>1.4071004226562505</v>
      </c>
      <c r="AA8" s="18">
        <v>1.48</v>
      </c>
      <c r="AB8" s="18">
        <f>+AA8*2</f>
        <v>2.96</v>
      </c>
    </row>
    <row r="9" spans="1:28" ht="30" x14ac:dyDescent="0.25">
      <c r="A9" s="3" t="s">
        <v>2</v>
      </c>
      <c r="B9" s="18"/>
      <c r="C9" s="36">
        <f>+C10+C11+C14</f>
        <v>3231956.3099999996</v>
      </c>
      <c r="D9" s="36">
        <f t="shared" ref="D9:H9" si="1">+D10+D11+D12+D14</f>
        <v>3263606.3099999996</v>
      </c>
      <c r="E9" s="36">
        <f t="shared" si="1"/>
        <v>3295256.3099999996</v>
      </c>
      <c r="F9" s="36">
        <f t="shared" si="1"/>
        <v>3236951.2199999997</v>
      </c>
      <c r="G9" s="36">
        <f t="shared" si="1"/>
        <v>3180788.6</v>
      </c>
      <c r="H9" s="36">
        <f t="shared" si="1"/>
        <v>3202168.15</v>
      </c>
      <c r="I9" s="36">
        <f>+I10+I11+I12+I14</f>
        <v>3392918.6800000006</v>
      </c>
      <c r="J9" s="36">
        <f>+J10+J11+J12+J14</f>
        <v>3770860.4</v>
      </c>
      <c r="K9" s="36">
        <f t="shared" ref="K9:L9" si="2">+K10+K11+K12+K14</f>
        <v>3565315.9899999998</v>
      </c>
      <c r="L9" s="36">
        <f t="shared" si="2"/>
        <v>3032763.7</v>
      </c>
      <c r="M9" s="36"/>
      <c r="N9" s="36">
        <f>+N10+N11+N12+N13+N14</f>
        <v>0</v>
      </c>
      <c r="O9" s="36">
        <f>+O10+O11+O12+O13+O14</f>
        <v>33172585.670000002</v>
      </c>
      <c r="S9" s="19"/>
    </row>
    <row r="10" spans="1:28" x14ac:dyDescent="0.25">
      <c r="A10" s="8" t="s">
        <v>3</v>
      </c>
      <c r="B10" s="18"/>
      <c r="C10" s="30">
        <v>2770472.26</v>
      </c>
      <c r="D10" s="18">
        <v>2770472.26</v>
      </c>
      <c r="E10" s="18">
        <v>2770472.26</v>
      </c>
      <c r="F10" s="18">
        <v>2747372.26</v>
      </c>
      <c r="G10" s="18">
        <v>2728692.06</v>
      </c>
      <c r="H10" s="18">
        <v>2780646.1</v>
      </c>
      <c r="I10" s="18">
        <f>2076227.62+17600+320000+110752.19+45000+171951.16+215691.16</f>
        <v>2957222.1300000004</v>
      </c>
      <c r="J10" s="18">
        <v>2497469.94</v>
      </c>
      <c r="K10" s="18">
        <f>2417918.78+129229.35+17600+571426.25</f>
        <v>3136174.38</v>
      </c>
      <c r="L10" s="18">
        <f>2578367.62+17600</f>
        <v>2595967.62</v>
      </c>
      <c r="M10" s="36"/>
      <c r="N10" s="18"/>
      <c r="O10" s="31">
        <f t="shared" ref="O10:O13" si="3">SUM(C10:N10)</f>
        <v>27754961.27</v>
      </c>
    </row>
    <row r="11" spans="1:28" x14ac:dyDescent="0.25">
      <c r="A11" s="8" t="s">
        <v>4</v>
      </c>
      <c r="C11" s="30">
        <v>56250</v>
      </c>
      <c r="D11" s="18">
        <v>56250</v>
      </c>
      <c r="E11" s="18">
        <v>56250</v>
      </c>
      <c r="F11" s="18">
        <v>56250</v>
      </c>
      <c r="G11" s="18">
        <v>56250</v>
      </c>
      <c r="H11" s="18">
        <v>41250</v>
      </c>
      <c r="I11" s="18">
        <v>71250</v>
      </c>
      <c r="J11" s="18">
        <v>907671.48</v>
      </c>
      <c r="K11" s="18">
        <v>56250</v>
      </c>
      <c r="L11" s="18">
        <v>56250</v>
      </c>
      <c r="M11" s="36"/>
      <c r="N11" s="18"/>
      <c r="O11" s="31">
        <f t="shared" si="3"/>
        <v>1413921.48</v>
      </c>
    </row>
    <row r="12" spans="1:28" ht="30" x14ac:dyDescent="0.25">
      <c r="A12" s="8" t="s">
        <v>40</v>
      </c>
      <c r="C12" s="32"/>
      <c r="D12" s="18">
        <v>31650</v>
      </c>
      <c r="E12" s="18">
        <v>63300</v>
      </c>
      <c r="F12" s="18">
        <v>31650</v>
      </c>
      <c r="G12" s="18"/>
      <c r="H12" s="18"/>
      <c r="I12" s="18"/>
      <c r="J12" s="18"/>
      <c r="K12" s="18"/>
      <c r="L12" s="18"/>
      <c r="M12" s="18"/>
      <c r="N12" s="18"/>
      <c r="O12" s="31">
        <f t="shared" si="3"/>
        <v>126600</v>
      </c>
    </row>
    <row r="13" spans="1:28" ht="30" x14ac:dyDescent="0.25">
      <c r="A13" s="8" t="s">
        <v>5</v>
      </c>
      <c r="C13" s="32"/>
      <c r="D13" s="18"/>
      <c r="F13" s="18"/>
      <c r="G13" s="18"/>
      <c r="H13" s="18"/>
      <c r="I13" s="18"/>
      <c r="J13" s="18"/>
      <c r="K13" s="18"/>
      <c r="L13" s="18"/>
      <c r="M13" s="18">
        <v>0</v>
      </c>
      <c r="N13" s="18">
        <v>0</v>
      </c>
      <c r="O13" s="31">
        <f t="shared" si="3"/>
        <v>0</v>
      </c>
    </row>
    <row r="14" spans="1:28" ht="30" x14ac:dyDescent="0.25">
      <c r="A14" s="8" t="s">
        <v>6</v>
      </c>
      <c r="C14" s="30">
        <v>405234.05</v>
      </c>
      <c r="D14" s="30">
        <v>405234.05</v>
      </c>
      <c r="E14" s="30">
        <v>405234.05</v>
      </c>
      <c r="F14" s="30">
        <v>401678.96</v>
      </c>
      <c r="G14" s="30">
        <v>395846.54</v>
      </c>
      <c r="H14" s="30">
        <v>380272.05</v>
      </c>
      <c r="I14" s="30">
        <f>138939.1+148661.77+12492.31+3190.5+3195+540+12191.34+12208.53+1127.14+15292.5+15314.08+1294.28</f>
        <v>364446.5500000001</v>
      </c>
      <c r="J14" s="30">
        <v>365718.98</v>
      </c>
      <c r="K14" s="30">
        <f>173445.4+182097.13+17349.08</f>
        <v>372891.61000000004</v>
      </c>
      <c r="L14" s="30">
        <f>178098.48+184313.72+18133.88</f>
        <v>380546.08</v>
      </c>
      <c r="M14" s="30"/>
      <c r="N14" s="18"/>
      <c r="O14" s="31">
        <f>SUM(C14:N14)</f>
        <v>3877102.92</v>
      </c>
    </row>
    <row r="15" spans="1:28" x14ac:dyDescent="0.25">
      <c r="A15" s="3" t="s">
        <v>7</v>
      </c>
      <c r="C15" s="36">
        <f>+C16+C18+C21+C22+C23</f>
        <v>387287.54</v>
      </c>
      <c r="D15" s="36">
        <f>+D16+D18+D21+D22+D23+D24</f>
        <v>452480.33999999997</v>
      </c>
      <c r="E15" s="36">
        <f>+E16+E18+E21+E22+E23+E24</f>
        <v>416023.05</v>
      </c>
      <c r="F15" s="36">
        <f>+F16+F18+F21+F22+F23+F24</f>
        <v>506804.60000000003</v>
      </c>
      <c r="G15" s="36">
        <f>SUM(G16:G24)</f>
        <v>445524.89999999997</v>
      </c>
      <c r="H15" s="36">
        <f>+H16+H17+H18+H21+H22+H23+H24</f>
        <v>493778.05</v>
      </c>
      <c r="I15" s="36">
        <f>+I16+I17+I18+I21+I22+I23+I24</f>
        <v>563401.33299999998</v>
      </c>
      <c r="J15" s="36">
        <f>+J16+J17+J18+J21+J22+J23</f>
        <v>470945.37</v>
      </c>
      <c r="K15" s="36">
        <f>K16+K20+K21+K22+K23+K24</f>
        <v>348624.2</v>
      </c>
      <c r="L15" s="36">
        <f>+L16+L17+L18+L19+L20+L21+L22+L23+L24</f>
        <v>497174.52</v>
      </c>
      <c r="M15" s="36">
        <f>+M16+M17+M18+M19+M21+M22+M23+M24</f>
        <v>0</v>
      </c>
      <c r="N15" s="36">
        <f>+N16+N17+N18+N19+N21+N22+N23+N24</f>
        <v>0</v>
      </c>
      <c r="O15" s="36">
        <f>+O16+O17+O18+O19+O21+O22+O23+O24</f>
        <v>4485854.9229999995</v>
      </c>
    </row>
    <row r="16" spans="1:28" x14ac:dyDescent="0.25">
      <c r="A16" s="8" t="s">
        <v>8</v>
      </c>
      <c r="C16" s="30">
        <v>139913.35999999999</v>
      </c>
      <c r="D16" s="18">
        <v>127226.84</v>
      </c>
      <c r="E16" s="18">
        <v>122680.05</v>
      </c>
      <c r="F16" s="18">
        <v>120850.14</v>
      </c>
      <c r="G16" s="18">
        <v>103997.79</v>
      </c>
      <c r="H16" s="18">
        <v>141075.01</v>
      </c>
      <c r="I16" s="18">
        <f>131638.82+13421.36+1188+2484</f>
        <v>148732.18</v>
      </c>
      <c r="J16" s="18">
        <v>126293.51</v>
      </c>
      <c r="K16" s="18">
        <v>153800.63</v>
      </c>
      <c r="L16" s="18">
        <f>86619.48+20079.56+52343.18+594+2484</f>
        <v>162120.22</v>
      </c>
      <c r="M16" s="18"/>
      <c r="N16" s="18"/>
      <c r="O16" s="31">
        <f>SUM(C16:N16)</f>
        <v>1346689.7299999997</v>
      </c>
    </row>
    <row r="17" spans="1:15" ht="30" x14ac:dyDescent="0.25">
      <c r="A17" s="8" t="s">
        <v>9</v>
      </c>
      <c r="C17" s="32"/>
      <c r="D17" s="18"/>
      <c r="F17" s="38"/>
      <c r="G17" s="18"/>
      <c r="H17" s="18"/>
      <c r="I17" s="18"/>
      <c r="J17" s="18"/>
      <c r="K17" s="18"/>
      <c r="L17" s="18"/>
      <c r="M17" s="18"/>
      <c r="N17" s="18"/>
      <c r="O17" s="31">
        <f>SUM(C17:N17)</f>
        <v>0</v>
      </c>
    </row>
    <row r="18" spans="1:15" x14ac:dyDescent="0.25">
      <c r="A18" s="8" t="s">
        <v>10</v>
      </c>
      <c r="C18" s="32"/>
      <c r="D18" s="18">
        <v>15700</v>
      </c>
      <c r="E18" s="18">
        <v>7800</v>
      </c>
      <c r="F18" s="18"/>
      <c r="G18" s="18"/>
      <c r="H18" s="18">
        <v>16486.96</v>
      </c>
      <c r="I18" s="18"/>
      <c r="J18" s="18"/>
      <c r="K18" s="18"/>
      <c r="L18" s="18"/>
      <c r="M18" s="18"/>
      <c r="N18" s="18"/>
      <c r="O18" s="31">
        <f>SUM(C18:N18)</f>
        <v>39986.959999999999</v>
      </c>
    </row>
    <row r="19" spans="1:15" ht="18" customHeight="1" x14ac:dyDescent="0.25">
      <c r="A19" s="8" t="s">
        <v>11</v>
      </c>
      <c r="C19" s="32"/>
      <c r="G19" s="38"/>
      <c r="H19" s="38"/>
      <c r="K19" s="38"/>
      <c r="L19" s="18"/>
      <c r="M19" s="18"/>
      <c r="N19" s="18"/>
      <c r="O19" s="31">
        <f>SUM(C19:L19)</f>
        <v>0</v>
      </c>
    </row>
    <row r="20" spans="1:15" x14ac:dyDescent="0.25">
      <c r="A20" s="8" t="s">
        <v>12</v>
      </c>
      <c r="C20" s="32"/>
      <c r="D20" s="18"/>
      <c r="K20" s="18">
        <v>71188.320000000007</v>
      </c>
      <c r="L20" s="48">
        <v>25000.66</v>
      </c>
      <c r="O20" s="31">
        <f t="shared" ref="O20:O72" si="4">SUM(C20:L20)</f>
        <v>96188.98000000001</v>
      </c>
    </row>
    <row r="21" spans="1:15" x14ac:dyDescent="0.25">
      <c r="A21" s="8" t="s">
        <v>13</v>
      </c>
      <c r="C21" s="41">
        <v>247374.18</v>
      </c>
      <c r="D21" s="18">
        <v>296461.73</v>
      </c>
      <c r="E21" s="18">
        <v>267140</v>
      </c>
      <c r="F21" s="18">
        <v>264414.46000000002</v>
      </c>
      <c r="G21" s="18">
        <v>329778.37</v>
      </c>
      <c r="H21" s="18">
        <v>312995.26</v>
      </c>
      <c r="I21" s="18">
        <v>373279.15299999999</v>
      </c>
      <c r="J21" s="18">
        <v>333249.34000000003</v>
      </c>
      <c r="K21" s="18">
        <v>24098.12</v>
      </c>
      <c r="L21" s="18">
        <f>7465.32+24098.12</f>
        <v>31563.439999999999</v>
      </c>
      <c r="M21" s="18"/>
      <c r="N21" s="18"/>
      <c r="O21" s="31">
        <f>SUM(C21:N21)</f>
        <v>2480354.0529999998</v>
      </c>
    </row>
    <row r="22" spans="1:15" ht="45" x14ac:dyDescent="0.25">
      <c r="A22" s="8" t="s">
        <v>14</v>
      </c>
      <c r="C22" s="32"/>
      <c r="D22" s="18">
        <v>13091.77</v>
      </c>
      <c r="E22" s="18">
        <v>11500</v>
      </c>
      <c r="F22" s="18"/>
      <c r="G22" s="18">
        <v>11748.74</v>
      </c>
      <c r="H22" s="18">
        <v>11479.82</v>
      </c>
      <c r="I22" s="18">
        <f>15807.87+17569.93</f>
        <v>33377.800000000003</v>
      </c>
      <c r="J22" s="18">
        <v>8588.67</v>
      </c>
      <c r="K22" s="18">
        <v>0</v>
      </c>
      <c r="L22" s="18">
        <f>87367.2+25659.4</f>
        <v>113026.6</v>
      </c>
      <c r="M22" s="18"/>
      <c r="N22" s="18"/>
      <c r="O22" s="31">
        <f>SUM(C22:N22)</f>
        <v>202813.40000000002</v>
      </c>
    </row>
    <row r="23" spans="1:15" ht="30" x14ac:dyDescent="0.25">
      <c r="A23" s="8" t="s">
        <v>15</v>
      </c>
      <c r="C23" s="32"/>
      <c r="D23" s="18"/>
      <c r="E23" s="18"/>
      <c r="F23" s="18">
        <v>121540</v>
      </c>
      <c r="G23" s="18"/>
      <c r="H23" s="18"/>
      <c r="I23" s="18"/>
      <c r="J23" s="18">
        <v>2813.85</v>
      </c>
      <c r="K23" s="18">
        <v>47200</v>
      </c>
      <c r="L23" s="18">
        <f>39180+116112</f>
        <v>155292</v>
      </c>
      <c r="M23" s="18"/>
      <c r="N23" s="18"/>
      <c r="O23" s="31">
        <f>SUM(C23:N23)</f>
        <v>326845.84999999998</v>
      </c>
    </row>
    <row r="24" spans="1:15" ht="30" x14ac:dyDescent="0.25">
      <c r="A24" s="8" t="s">
        <v>41</v>
      </c>
      <c r="C24" s="32"/>
      <c r="D24" s="18"/>
      <c r="E24" s="18">
        <v>6903</v>
      </c>
      <c r="F24" s="18"/>
      <c r="G24" s="18"/>
      <c r="H24" s="18">
        <v>11741</v>
      </c>
      <c r="I24" s="18">
        <v>8012.2</v>
      </c>
      <c r="J24" s="18"/>
      <c r="K24" s="18">
        <v>52337.13</v>
      </c>
      <c r="L24" s="18">
        <v>10171.6</v>
      </c>
      <c r="M24" s="18"/>
      <c r="N24" s="18"/>
      <c r="O24" s="31">
        <f>SUM(C24:N24)</f>
        <v>89164.930000000008</v>
      </c>
    </row>
    <row r="25" spans="1:15" x14ac:dyDescent="0.25">
      <c r="A25" s="3" t="s">
        <v>16</v>
      </c>
      <c r="C25" s="4">
        <f>+C26+C28+C30+C32+C34+C33</f>
        <v>0</v>
      </c>
      <c r="D25" s="36">
        <f t="shared" ref="D25:H25" si="5">+D26+D28+D30+D32+D34+D33</f>
        <v>0</v>
      </c>
      <c r="E25" s="36">
        <f t="shared" si="5"/>
        <v>52392</v>
      </c>
      <c r="F25" s="36">
        <f t="shared" si="5"/>
        <v>64636</v>
      </c>
      <c r="G25" s="36">
        <f t="shared" si="5"/>
        <v>149791.29999999999</v>
      </c>
      <c r="H25" s="36">
        <f t="shared" si="5"/>
        <v>280000</v>
      </c>
      <c r="I25" s="36">
        <f>+I26+I27+I28+I30+I32+I34+I33</f>
        <v>369401.52</v>
      </c>
      <c r="J25" s="36">
        <f>+J26+J28+J30+J32+J34+J33</f>
        <v>29690.370000000003</v>
      </c>
      <c r="K25" s="36">
        <f>+K26+K28+K30+K32+K34+K33</f>
        <v>29516</v>
      </c>
      <c r="L25" s="36">
        <f>+L26+L27+L28+L29+L30+L31+L32+L33+L34</f>
        <v>315153.09999999998</v>
      </c>
      <c r="M25" s="36">
        <f>+M26+M27+M28+M30+M32+M34+M33</f>
        <v>0</v>
      </c>
      <c r="N25" s="36">
        <f>+N26+N28+N30+N32+N34+N33+N27+N29</f>
        <v>0</v>
      </c>
      <c r="O25" s="36">
        <f>+O26+O28+O30+O32+O34</f>
        <v>1290580.29</v>
      </c>
    </row>
    <row r="26" spans="1:15" ht="30" x14ac:dyDescent="0.25">
      <c r="A26" s="8" t="s">
        <v>17</v>
      </c>
      <c r="C26" s="32">
        <v>0</v>
      </c>
      <c r="D26" s="18"/>
      <c r="E26" s="18"/>
      <c r="F26" s="18"/>
      <c r="G26" s="18">
        <v>5802.9</v>
      </c>
      <c r="H26" s="18"/>
      <c r="I26" s="18"/>
      <c r="J26" s="18">
        <v>17033.5</v>
      </c>
      <c r="K26" s="18">
        <v>13999</v>
      </c>
      <c r="L26" s="18">
        <v>8085.27</v>
      </c>
      <c r="M26" s="18"/>
      <c r="N26" s="18"/>
      <c r="O26" s="31">
        <f>SUM(C26:N26)</f>
        <v>44920.67</v>
      </c>
    </row>
    <row r="27" spans="1:15" x14ac:dyDescent="0.25">
      <c r="A27" s="8" t="s">
        <v>18</v>
      </c>
      <c r="C27" s="32">
        <v>0</v>
      </c>
      <c r="D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f>SUM(C27:N27)</f>
        <v>0</v>
      </c>
    </row>
    <row r="28" spans="1:15" ht="30" x14ac:dyDescent="0.25">
      <c r="A28" s="8" t="s">
        <v>19</v>
      </c>
      <c r="C28" s="32">
        <v>0</v>
      </c>
      <c r="D28" s="18"/>
      <c r="E28" s="18">
        <v>49560</v>
      </c>
      <c r="F28" s="18"/>
      <c r="G28" s="18"/>
      <c r="H28" s="18"/>
      <c r="I28" s="18"/>
      <c r="J28" s="18">
        <v>2005.75</v>
      </c>
      <c r="K28" s="18"/>
      <c r="L28" s="18">
        <f>14308.68+39261.2</f>
        <v>53569.88</v>
      </c>
      <c r="M28" s="18"/>
      <c r="N28" s="18"/>
      <c r="O28" s="31">
        <f>SUM(C28:N28)</f>
        <v>105135.63</v>
      </c>
    </row>
    <row r="29" spans="1:15" x14ac:dyDescent="0.25">
      <c r="A29" s="8" t="s">
        <v>20</v>
      </c>
      <c r="C29" s="32"/>
      <c r="N29" s="18"/>
      <c r="O29" s="31">
        <f>SUM(C29:N29)</f>
        <v>0</v>
      </c>
    </row>
    <row r="30" spans="1:15" ht="30" x14ac:dyDescent="0.25">
      <c r="A30" s="8" t="s">
        <v>21</v>
      </c>
      <c r="C30" s="32">
        <v>0</v>
      </c>
      <c r="D30" s="18"/>
      <c r="F30" s="18">
        <v>58500</v>
      </c>
      <c r="H30" s="18"/>
      <c r="I30" s="18"/>
      <c r="K30" s="18"/>
      <c r="L30" s="18">
        <v>260.77999999999997</v>
      </c>
      <c r="N30" s="18"/>
      <c r="O30" s="31">
        <f>SUM(C30:N30)</f>
        <v>58760.78</v>
      </c>
    </row>
    <row r="31" spans="1:15" ht="30" x14ac:dyDescent="0.25">
      <c r="A31" s="8" t="s">
        <v>22</v>
      </c>
      <c r="C31" s="32"/>
      <c r="F31" s="18"/>
      <c r="L31" s="18"/>
      <c r="O31" s="31">
        <f t="shared" si="4"/>
        <v>0</v>
      </c>
    </row>
    <row r="32" spans="1:15" ht="30" x14ac:dyDescent="0.25">
      <c r="A32" s="8" t="s">
        <v>23</v>
      </c>
      <c r="C32" s="32">
        <v>0</v>
      </c>
      <c r="D32" s="18"/>
      <c r="E32" s="18"/>
      <c r="F32" s="18"/>
      <c r="G32" s="18">
        <v>140000</v>
      </c>
      <c r="H32" s="18">
        <v>280000</v>
      </c>
      <c r="I32" s="18">
        <v>280000</v>
      </c>
      <c r="J32" s="18"/>
      <c r="K32" s="18"/>
      <c r="L32" s="18">
        <f>40000+150000+4087.52</f>
        <v>194087.52</v>
      </c>
      <c r="M32" s="18"/>
      <c r="N32" s="18"/>
      <c r="O32" s="31">
        <f>SUM(D32:L32)</f>
        <v>894087.52</v>
      </c>
    </row>
    <row r="33" spans="1:15" ht="45" x14ac:dyDescent="0.25">
      <c r="A33" s="8" t="s">
        <v>42</v>
      </c>
      <c r="C33" s="32"/>
      <c r="O33" s="31">
        <f t="shared" si="4"/>
        <v>0</v>
      </c>
    </row>
    <row r="34" spans="1:15" x14ac:dyDescent="0.25">
      <c r="A34" s="8" t="s">
        <v>24</v>
      </c>
      <c r="C34" s="32">
        <v>0</v>
      </c>
      <c r="D34" s="18"/>
      <c r="E34" s="18">
        <v>2832</v>
      </c>
      <c r="F34" s="18">
        <v>6136</v>
      </c>
      <c r="G34" s="18">
        <v>3988.4</v>
      </c>
      <c r="H34" s="18"/>
      <c r="I34" s="18">
        <f>74764.8+6136+8500.72</f>
        <v>89401.52</v>
      </c>
      <c r="J34" s="18">
        <v>10651.12</v>
      </c>
      <c r="K34" s="18">
        <v>15517</v>
      </c>
      <c r="L34" s="18">
        <f>17284.91+16912.37+24952.37</f>
        <v>59149.649999999994</v>
      </c>
      <c r="M34" s="18"/>
      <c r="N34" s="18"/>
      <c r="O34" s="31">
        <f>SUM(C34:N34)</f>
        <v>187675.69</v>
      </c>
    </row>
    <row r="35" spans="1:15" x14ac:dyDescent="0.25">
      <c r="A35" s="3" t="s">
        <v>25</v>
      </c>
      <c r="C35" s="4">
        <f>+C36+C37+C38+C40+C41+C42</f>
        <v>0</v>
      </c>
      <c r="D35" s="4">
        <f t="shared" ref="D35:K35" si="6">+D36+D37+D38+D40+D41+D42</f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ref="L35" si="7">+L36+L37+L38+L40+L41+L42</f>
        <v>0</v>
      </c>
      <c r="M35" s="4">
        <v>0</v>
      </c>
      <c r="N35" s="4">
        <v>0</v>
      </c>
      <c r="O35" s="4">
        <f t="shared" ref="O35" si="8">+O36+O37+O38+O40+O41+O42</f>
        <v>0</v>
      </c>
    </row>
    <row r="36" spans="1:15" ht="30" x14ac:dyDescent="0.25">
      <c r="A36" s="8" t="s">
        <v>26</v>
      </c>
      <c r="C36" s="32"/>
      <c r="O36" s="31">
        <f>SUM(C36:L36)</f>
        <v>0</v>
      </c>
    </row>
    <row r="37" spans="1:15" ht="30" x14ac:dyDescent="0.25">
      <c r="A37" s="8" t="s">
        <v>43</v>
      </c>
      <c r="C37" s="32"/>
      <c r="O37" s="31">
        <f t="shared" si="4"/>
        <v>0</v>
      </c>
    </row>
    <row r="38" spans="1:15" ht="30" x14ac:dyDescent="0.25">
      <c r="A38" s="8" t="s">
        <v>44</v>
      </c>
      <c r="C38" s="32"/>
      <c r="O38" s="31">
        <f>SUM(C38:L38)</f>
        <v>0</v>
      </c>
    </row>
    <row r="39" spans="1:15" ht="30" x14ac:dyDescent="0.25">
      <c r="A39" s="8" t="s">
        <v>45</v>
      </c>
      <c r="C39" s="32"/>
      <c r="O39" s="31">
        <f t="shared" si="4"/>
        <v>0</v>
      </c>
    </row>
    <row r="40" spans="1:15" ht="30" x14ac:dyDescent="0.25">
      <c r="A40" s="8" t="s">
        <v>46</v>
      </c>
      <c r="C40" s="32"/>
      <c r="O40" s="31">
        <f t="shared" si="4"/>
        <v>0</v>
      </c>
    </row>
    <row r="41" spans="1:15" ht="30" x14ac:dyDescent="0.25">
      <c r="A41" s="8" t="s">
        <v>27</v>
      </c>
      <c r="C41" s="32"/>
      <c r="O41" s="31">
        <f t="shared" si="4"/>
        <v>0</v>
      </c>
    </row>
    <row r="42" spans="1:15" ht="30" x14ac:dyDescent="0.25">
      <c r="A42" s="8" t="s">
        <v>47</v>
      </c>
      <c r="C42" s="32"/>
      <c r="O42" s="31">
        <f t="shared" si="4"/>
        <v>0</v>
      </c>
    </row>
    <row r="43" spans="1:15" x14ac:dyDescent="0.25">
      <c r="A43" s="3" t="s">
        <v>48</v>
      </c>
      <c r="C43" s="33">
        <f>+C44+C45+C46+C47+C48+C49+C50</f>
        <v>0</v>
      </c>
      <c r="O43" s="31">
        <f t="shared" si="4"/>
        <v>0</v>
      </c>
    </row>
    <row r="44" spans="1:15" ht="30" x14ac:dyDescent="0.25">
      <c r="A44" s="8" t="s">
        <v>49</v>
      </c>
      <c r="C44" s="32"/>
      <c r="O44" s="31">
        <f t="shared" si="4"/>
        <v>0</v>
      </c>
    </row>
    <row r="45" spans="1:15" ht="30" x14ac:dyDescent="0.25">
      <c r="A45" s="8" t="s">
        <v>50</v>
      </c>
      <c r="C45" s="32">
        <v>0</v>
      </c>
      <c r="O45" s="31">
        <f t="shared" si="4"/>
        <v>0</v>
      </c>
    </row>
    <row r="46" spans="1:15" ht="30" x14ac:dyDescent="0.25">
      <c r="A46" s="8" t="s">
        <v>51</v>
      </c>
      <c r="C46" s="32">
        <v>0</v>
      </c>
      <c r="O46" s="31">
        <f t="shared" si="4"/>
        <v>0</v>
      </c>
    </row>
    <row r="47" spans="1:15" ht="30" x14ac:dyDescent="0.25">
      <c r="A47" s="8" t="s">
        <v>52</v>
      </c>
      <c r="C47" s="32">
        <v>0</v>
      </c>
      <c r="O47" s="31">
        <f t="shared" si="4"/>
        <v>0</v>
      </c>
    </row>
    <row r="48" spans="1:15" ht="30" x14ac:dyDescent="0.25">
      <c r="A48" s="8" t="s">
        <v>53</v>
      </c>
      <c r="C48" s="32">
        <v>0</v>
      </c>
      <c r="O48" s="31">
        <f t="shared" si="4"/>
        <v>0</v>
      </c>
    </row>
    <row r="49" spans="1:18" ht="30" x14ac:dyDescent="0.25">
      <c r="A49" s="8" t="s">
        <v>54</v>
      </c>
      <c r="C49" s="32">
        <v>0</v>
      </c>
      <c r="O49" s="31">
        <f t="shared" si="4"/>
        <v>0</v>
      </c>
    </row>
    <row r="50" spans="1:18" ht="30" x14ac:dyDescent="0.25">
      <c r="A50" s="8" t="s">
        <v>55</v>
      </c>
      <c r="C50" s="42">
        <v>0</v>
      </c>
      <c r="O50" s="18">
        <f t="shared" si="4"/>
        <v>0</v>
      </c>
    </row>
    <row r="51" spans="1:18" ht="30" x14ac:dyDescent="0.25">
      <c r="A51" s="3" t="s">
        <v>28</v>
      </c>
      <c r="C51" s="36">
        <f>+C52+C53+C54+C55+C56+C57+C58+C59+C60</f>
        <v>0</v>
      </c>
      <c r="D51" s="4">
        <f t="shared" ref="D51:N51" si="9">+D52+D53+D54+D55+D56+D57+D58+D59+D60</f>
        <v>0</v>
      </c>
      <c r="E51" s="4">
        <f t="shared" si="9"/>
        <v>0</v>
      </c>
      <c r="F51" s="4">
        <f>+F52+F53+F54+F55+G57+F57+F58+F59+F60</f>
        <v>0</v>
      </c>
      <c r="G51" s="4">
        <f t="shared" ref="G51:H51" si="10">+G52+G53+G54+G55+H57+G57+G58+G59+G60</f>
        <v>0</v>
      </c>
      <c r="H51" s="4">
        <f t="shared" si="10"/>
        <v>0</v>
      </c>
      <c r="I51" s="36">
        <f t="shared" si="9"/>
        <v>124624.52</v>
      </c>
      <c r="J51" s="36">
        <f t="shared" si="9"/>
        <v>49465.599999999999</v>
      </c>
      <c r="K51" s="36">
        <f t="shared" si="9"/>
        <v>97468</v>
      </c>
      <c r="L51" s="36">
        <f t="shared" si="9"/>
        <v>94400</v>
      </c>
      <c r="M51" s="4">
        <f t="shared" si="9"/>
        <v>0</v>
      </c>
      <c r="N51" s="4">
        <f t="shared" si="9"/>
        <v>0</v>
      </c>
      <c r="O51" s="36">
        <f>+O52+O56+O54</f>
        <v>365958.12</v>
      </c>
      <c r="P51" s="4" t="s">
        <v>113</v>
      </c>
      <c r="Q51" s="33" t="s">
        <v>113</v>
      </c>
      <c r="R51" s="33" t="s">
        <v>113</v>
      </c>
    </row>
    <row r="52" spans="1:18" x14ac:dyDescent="0.25">
      <c r="A52" s="8" t="s">
        <v>29</v>
      </c>
      <c r="C52" s="30"/>
      <c r="E52" s="18"/>
      <c r="F52" s="18"/>
      <c r="G52" s="18"/>
      <c r="H52" s="18"/>
      <c r="I52" s="18">
        <v>124624.52</v>
      </c>
      <c r="J52" s="18">
        <v>49465.599999999999</v>
      </c>
      <c r="K52" s="18">
        <v>97468</v>
      </c>
      <c r="L52" s="18">
        <v>94400</v>
      </c>
      <c r="M52" s="18"/>
      <c r="N52" s="18"/>
      <c r="O52" s="31">
        <f>SUM(C52:N52)</f>
        <v>365958.12</v>
      </c>
    </row>
    <row r="53" spans="1:18" ht="30" x14ac:dyDescent="0.25">
      <c r="A53" s="8" t="s">
        <v>30</v>
      </c>
      <c r="C53" s="32"/>
      <c r="E53" s="18"/>
      <c r="F53" s="18"/>
      <c r="G53" s="18"/>
      <c r="H53" s="18"/>
      <c r="I53" s="18"/>
      <c r="J53" s="18"/>
      <c r="O53" s="31">
        <f t="shared" si="4"/>
        <v>0</v>
      </c>
    </row>
    <row r="54" spans="1:18" ht="30" x14ac:dyDescent="0.25">
      <c r="A54" s="8" t="s">
        <v>31</v>
      </c>
      <c r="C54" s="32"/>
      <c r="H54" s="18"/>
      <c r="O54" s="31">
        <f t="shared" si="4"/>
        <v>0</v>
      </c>
    </row>
    <row r="55" spans="1:18" ht="30" x14ac:dyDescent="0.25">
      <c r="A55" s="8" t="s">
        <v>32</v>
      </c>
      <c r="C55" s="32"/>
      <c r="O55" s="31">
        <f t="shared" si="4"/>
        <v>0</v>
      </c>
    </row>
    <row r="56" spans="1:18" ht="30" x14ac:dyDescent="0.25">
      <c r="A56" s="8" t="s">
        <v>33</v>
      </c>
      <c r="C56" s="3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31">
        <f t="shared" si="4"/>
        <v>0</v>
      </c>
    </row>
    <row r="57" spans="1:18" ht="30" x14ac:dyDescent="0.25">
      <c r="A57" s="8" t="s">
        <v>56</v>
      </c>
      <c r="C57" s="32"/>
      <c r="E57" s="18"/>
      <c r="F57" s="18"/>
      <c r="G57" s="18"/>
      <c r="H57" s="18"/>
      <c r="I57" s="18"/>
      <c r="J57" s="18"/>
      <c r="K57" s="18"/>
      <c r="O57" s="31">
        <f t="shared" si="4"/>
        <v>0</v>
      </c>
    </row>
    <row r="58" spans="1:18" ht="30" x14ac:dyDescent="0.25">
      <c r="A58" s="8" t="s">
        <v>57</v>
      </c>
      <c r="C58" s="32"/>
      <c r="O58" s="31">
        <f t="shared" si="4"/>
        <v>0</v>
      </c>
    </row>
    <row r="59" spans="1:18" x14ac:dyDescent="0.25">
      <c r="A59" s="8" t="s">
        <v>34</v>
      </c>
      <c r="C59" s="32"/>
      <c r="J59" s="18"/>
      <c r="N59" s="18"/>
      <c r="O59" s="18"/>
    </row>
    <row r="60" spans="1:18" ht="45" x14ac:dyDescent="0.25">
      <c r="A60" s="8" t="s">
        <v>58</v>
      </c>
      <c r="C60" s="32"/>
      <c r="O60" s="31">
        <f t="shared" si="4"/>
        <v>0</v>
      </c>
    </row>
    <row r="61" spans="1:18" x14ac:dyDescent="0.25">
      <c r="A61" s="3" t="s">
        <v>59</v>
      </c>
      <c r="C61" s="33"/>
      <c r="O61" s="31">
        <f t="shared" si="4"/>
        <v>0</v>
      </c>
    </row>
    <row r="62" spans="1:18" x14ac:dyDescent="0.25">
      <c r="A62" s="8" t="s">
        <v>60</v>
      </c>
      <c r="C62" s="32"/>
      <c r="O62" s="31">
        <f t="shared" si="4"/>
        <v>0</v>
      </c>
    </row>
    <row r="63" spans="1:18" x14ac:dyDescent="0.25">
      <c r="A63" s="8" t="s">
        <v>61</v>
      </c>
      <c r="C63" s="32"/>
      <c r="O63" s="31">
        <f t="shared" si="4"/>
        <v>0</v>
      </c>
    </row>
    <row r="64" spans="1:18" ht="30" x14ac:dyDescent="0.25">
      <c r="A64" s="8" t="s">
        <v>62</v>
      </c>
      <c r="C64" s="32"/>
      <c r="O64" s="31">
        <f t="shared" si="4"/>
        <v>0</v>
      </c>
    </row>
    <row r="65" spans="1:18" ht="45" x14ac:dyDescent="0.25">
      <c r="A65" s="8" t="s">
        <v>63</v>
      </c>
      <c r="C65" s="32"/>
      <c r="O65" s="31">
        <f t="shared" si="4"/>
        <v>0</v>
      </c>
    </row>
    <row r="66" spans="1:18" ht="30" x14ac:dyDescent="0.25">
      <c r="A66" s="3" t="s">
        <v>64</v>
      </c>
      <c r="C66" s="4">
        <f>+C67+C68</f>
        <v>0</v>
      </c>
      <c r="D66" s="4">
        <f t="shared" ref="D66:O66" si="11">+D67+D68</f>
        <v>0</v>
      </c>
      <c r="E66" s="4">
        <f t="shared" si="11"/>
        <v>0</v>
      </c>
      <c r="F66" s="4">
        <f t="shared" si="11"/>
        <v>0</v>
      </c>
      <c r="G66" s="4">
        <f t="shared" si="11"/>
        <v>0</v>
      </c>
      <c r="H66" s="4">
        <f t="shared" si="11"/>
        <v>0</v>
      </c>
      <c r="I66" s="4">
        <f t="shared" si="11"/>
        <v>0</v>
      </c>
      <c r="J66" s="4">
        <f t="shared" si="11"/>
        <v>0</v>
      </c>
      <c r="K66" s="4">
        <f t="shared" si="11"/>
        <v>0</v>
      </c>
      <c r="L66" s="4">
        <f t="shared" si="11"/>
        <v>0</v>
      </c>
      <c r="M66" s="4">
        <v>0</v>
      </c>
      <c r="N66" s="4">
        <v>0</v>
      </c>
      <c r="O66" s="4">
        <f t="shared" si="11"/>
        <v>0</v>
      </c>
      <c r="P66" s="4"/>
      <c r="Q66" s="33"/>
      <c r="R66" s="33"/>
    </row>
    <row r="67" spans="1:18" x14ac:dyDescent="0.25">
      <c r="A67" s="8" t="s">
        <v>65</v>
      </c>
      <c r="C67" s="32">
        <v>0</v>
      </c>
      <c r="O67" s="31">
        <f t="shared" si="4"/>
        <v>0</v>
      </c>
    </row>
    <row r="68" spans="1:18" ht="30" x14ac:dyDescent="0.25">
      <c r="A68" s="8" t="s">
        <v>66</v>
      </c>
      <c r="C68" s="30">
        <v>0</v>
      </c>
      <c r="D68" s="18"/>
      <c r="O68" s="31">
        <f t="shared" si="4"/>
        <v>0</v>
      </c>
    </row>
    <row r="69" spans="1:18" x14ac:dyDescent="0.25">
      <c r="A69" s="3" t="s">
        <v>67</v>
      </c>
      <c r="C69" s="36"/>
      <c r="D69" s="36">
        <f t="shared" ref="D69:H69" si="12">+D70+D71+D72</f>
        <v>0</v>
      </c>
      <c r="E69" s="36">
        <f t="shared" si="12"/>
        <v>0</v>
      </c>
      <c r="F69" s="36">
        <f t="shared" si="12"/>
        <v>0</v>
      </c>
      <c r="G69" s="36">
        <f t="shared" si="12"/>
        <v>0</v>
      </c>
      <c r="H69" s="36">
        <f t="shared" si="12"/>
        <v>0</v>
      </c>
      <c r="I69" s="36">
        <f>+I70+I71+I72</f>
        <v>0</v>
      </c>
      <c r="J69" s="36">
        <f t="shared" ref="J69:O69" si="13">+J70+J71+J72</f>
        <v>0</v>
      </c>
      <c r="K69" s="36">
        <f t="shared" si="13"/>
        <v>0</v>
      </c>
      <c r="L69" s="36">
        <f t="shared" si="13"/>
        <v>0</v>
      </c>
      <c r="M69" s="36">
        <v>0</v>
      </c>
      <c r="N69" s="36">
        <v>0</v>
      </c>
      <c r="O69" s="36">
        <f t="shared" si="13"/>
        <v>0</v>
      </c>
    </row>
    <row r="70" spans="1:18" ht="30" x14ac:dyDescent="0.25">
      <c r="A70" s="8" t="s">
        <v>68</v>
      </c>
      <c r="C70" s="30">
        <v>0</v>
      </c>
      <c r="D70" s="18"/>
      <c r="O70" s="31">
        <f t="shared" si="4"/>
        <v>0</v>
      </c>
    </row>
    <row r="71" spans="1:18" ht="30" x14ac:dyDescent="0.25">
      <c r="A71" s="8" t="s">
        <v>69</v>
      </c>
      <c r="C71" s="30">
        <v>0</v>
      </c>
      <c r="D71" s="18"/>
      <c r="O71" s="31">
        <f t="shared" si="4"/>
        <v>0</v>
      </c>
    </row>
    <row r="72" spans="1:18" ht="30" x14ac:dyDescent="0.25">
      <c r="A72" s="8" t="s">
        <v>70</v>
      </c>
      <c r="C72" s="30">
        <v>0</v>
      </c>
      <c r="D72" s="18"/>
      <c r="O72" s="31">
        <f t="shared" si="4"/>
        <v>0</v>
      </c>
    </row>
    <row r="73" spans="1:18" ht="15.75" thickBot="1" x14ac:dyDescent="0.3">
      <c r="A73" s="10" t="s">
        <v>35</v>
      </c>
      <c r="B73" s="7"/>
      <c r="C73" s="34">
        <f>+C9+C15+C25+C35</f>
        <v>3619243.8499999996</v>
      </c>
      <c r="D73" s="34">
        <f>+D9+D15+D25+D35+D51</f>
        <v>3716086.6499999994</v>
      </c>
      <c r="E73" s="34">
        <f>+E9+E15+E25+E35+E51</f>
        <v>3763671.3599999994</v>
      </c>
      <c r="F73" s="34">
        <f>+F9+F15+F25+F35+F51</f>
        <v>3808391.82</v>
      </c>
      <c r="G73" s="34">
        <f>+G9+G15+G25+G35+G51</f>
        <v>3776104.8</v>
      </c>
      <c r="H73" s="35">
        <f t="shared" ref="H73:N73" si="14">+H9+H15+H25+H51+H66+H69</f>
        <v>3975946.1999999997</v>
      </c>
      <c r="I73" s="35">
        <f>I9+I15+I25+I51</f>
        <v>4450346.0530000003</v>
      </c>
      <c r="J73" s="35">
        <f>J9+J15+J25+J51+J24</f>
        <v>4320961.7399999993</v>
      </c>
      <c r="K73" s="35">
        <f>K9+K15+K25+K51</f>
        <v>4040924.19</v>
      </c>
      <c r="L73" s="35">
        <f>+L9+L15+L25+L51+L66+L69</f>
        <v>3939491.3200000003</v>
      </c>
      <c r="M73" s="35">
        <f t="shared" si="14"/>
        <v>0</v>
      </c>
      <c r="N73" s="35">
        <f t="shared" si="14"/>
        <v>0</v>
      </c>
      <c r="O73" s="35">
        <f>+O9+O15+O25+O27+O51+O59+O66+O69</f>
        <v>39314979.002999999</v>
      </c>
    </row>
    <row r="74" spans="1:18" x14ac:dyDescent="0.25">
      <c r="A74" s="5"/>
      <c r="C74" s="6"/>
      <c r="I74" s="18"/>
      <c r="J74" t="s">
        <v>113</v>
      </c>
      <c r="K74" t="s">
        <v>113</v>
      </c>
      <c r="L74" s="20"/>
      <c r="O74" s="20" t="s">
        <v>113</v>
      </c>
    </row>
    <row r="75" spans="1:18" x14ac:dyDescent="0.25">
      <c r="A75" s="1" t="s">
        <v>71</v>
      </c>
      <c r="B75" s="2"/>
      <c r="C75" s="2"/>
      <c r="D75" s="2"/>
      <c r="E75" s="2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8" ht="30" x14ac:dyDescent="0.25">
      <c r="A76" s="3" t="s">
        <v>72</v>
      </c>
      <c r="C76" s="4"/>
      <c r="E76" s="20">
        <v>0</v>
      </c>
      <c r="L76" s="20">
        <f>L73-3939491.32</f>
        <v>0</v>
      </c>
      <c r="M76" s="2"/>
    </row>
    <row r="77" spans="1:18" ht="30" x14ac:dyDescent="0.25">
      <c r="A77" s="8" t="s">
        <v>73</v>
      </c>
      <c r="C77" s="6"/>
      <c r="I77" s="20">
        <v>0</v>
      </c>
      <c r="M77" s="2"/>
    </row>
    <row r="78" spans="1:18" ht="30" x14ac:dyDescent="0.25">
      <c r="A78" s="8" t="s">
        <v>74</v>
      </c>
      <c r="C78" s="6"/>
    </row>
    <row r="79" spans="1:18" x14ac:dyDescent="0.25">
      <c r="A79" s="3" t="s">
        <v>75</v>
      </c>
      <c r="C79" s="4"/>
    </row>
    <row r="80" spans="1:18" ht="30" x14ac:dyDescent="0.25">
      <c r="A80" s="8" t="s">
        <v>76</v>
      </c>
      <c r="C80" s="6"/>
    </row>
    <row r="81" spans="1:15" ht="30" x14ac:dyDescent="0.25">
      <c r="A81" s="8" t="s">
        <v>77</v>
      </c>
      <c r="C81" s="6"/>
    </row>
    <row r="82" spans="1:15" ht="30" x14ac:dyDescent="0.25">
      <c r="A82" s="3" t="s">
        <v>78</v>
      </c>
      <c r="C82" s="4"/>
    </row>
    <row r="83" spans="1:15" ht="30" x14ac:dyDescent="0.25">
      <c r="A83" s="8" t="s">
        <v>79</v>
      </c>
      <c r="C83" s="6"/>
    </row>
    <row r="84" spans="1:15" x14ac:dyDescent="0.25">
      <c r="A84" s="10" t="s">
        <v>80</v>
      </c>
      <c r="B84" s="7"/>
      <c r="C84" s="29">
        <f>+C73</f>
        <v>3619243.8499999996</v>
      </c>
      <c r="D84" s="29">
        <f>+D73</f>
        <v>3716086.6499999994</v>
      </c>
      <c r="E84" s="29">
        <f>+E73</f>
        <v>3763671.3599999994</v>
      </c>
      <c r="F84" s="29">
        <f t="shared" ref="F84:O84" si="15">+F73</f>
        <v>3808391.82</v>
      </c>
      <c r="G84" s="29">
        <f t="shared" si="15"/>
        <v>3776104.8</v>
      </c>
      <c r="H84" s="29">
        <f>+H73</f>
        <v>3975946.1999999997</v>
      </c>
      <c r="I84" s="29">
        <f t="shared" si="15"/>
        <v>4450346.0530000003</v>
      </c>
      <c r="J84" s="29">
        <f>+J73</f>
        <v>4320961.7399999993</v>
      </c>
      <c r="K84" s="29">
        <f t="shared" si="15"/>
        <v>4040924.19</v>
      </c>
      <c r="L84" s="29">
        <f t="shared" si="15"/>
        <v>3939491.3200000003</v>
      </c>
      <c r="M84" s="29">
        <f t="shared" si="15"/>
        <v>0</v>
      </c>
      <c r="N84" s="29">
        <f t="shared" si="15"/>
        <v>0</v>
      </c>
      <c r="O84" s="29">
        <f t="shared" si="15"/>
        <v>39314979.002999999</v>
      </c>
    </row>
    <row r="85" spans="1:15" x14ac:dyDescent="0.25">
      <c r="J85" s="18"/>
    </row>
    <row r="86" spans="1:15" ht="31.5" x14ac:dyDescent="0.25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8.75" x14ac:dyDescent="0.3">
      <c r="A87" s="9" t="s">
        <v>92</v>
      </c>
      <c r="M87" s="20"/>
    </row>
    <row r="88" spans="1:15" x14ac:dyDescent="0.25">
      <c r="A88" s="16" t="s">
        <v>94</v>
      </c>
      <c r="K88" s="20"/>
      <c r="L88" s="20"/>
    </row>
    <row r="89" spans="1:15" x14ac:dyDescent="0.25">
      <c r="A89" s="16" t="s">
        <v>95</v>
      </c>
      <c r="N89" s="20"/>
    </row>
    <row r="90" spans="1:15" x14ac:dyDescent="0.25">
      <c r="A90" s="16" t="s">
        <v>93</v>
      </c>
      <c r="M90" s="20"/>
    </row>
    <row r="91" spans="1:15" x14ac:dyDescent="0.25">
      <c r="A91" s="16" t="s">
        <v>96</v>
      </c>
      <c r="I91" s="39"/>
    </row>
    <row r="92" spans="1:15" x14ac:dyDescent="0.25">
      <c r="A92" s="16" t="s">
        <v>97</v>
      </c>
    </row>
    <row r="93" spans="1:15" x14ac:dyDescent="0.25">
      <c r="A93" s="16"/>
    </row>
    <row r="95" spans="1:15" x14ac:dyDescent="0.25">
      <c r="A95" t="s">
        <v>132</v>
      </c>
      <c r="L95" t="s">
        <v>107</v>
      </c>
    </row>
    <row r="99" spans="1:12" x14ac:dyDescent="0.25">
      <c r="A99" t="s">
        <v>119</v>
      </c>
      <c r="L99" t="s">
        <v>120</v>
      </c>
    </row>
    <row r="100" spans="1:12" x14ac:dyDescent="0.25">
      <c r="A100" s="28" t="s">
        <v>124</v>
      </c>
      <c r="L100" s="28" t="s">
        <v>138</v>
      </c>
    </row>
    <row r="101" spans="1:12" x14ac:dyDescent="0.25">
      <c r="A101" t="s">
        <v>125</v>
      </c>
      <c r="L101" t="s">
        <v>123</v>
      </c>
    </row>
    <row r="102" spans="1:12" x14ac:dyDescent="0.25">
      <c r="A102" t="s">
        <v>133</v>
      </c>
    </row>
    <row r="103" spans="1:12" x14ac:dyDescent="0.25">
      <c r="A103" t="s">
        <v>108</v>
      </c>
    </row>
    <row r="104" spans="1:12" x14ac:dyDescent="0.25">
      <c r="A104" t="s">
        <v>109</v>
      </c>
    </row>
    <row r="105" spans="1:12" x14ac:dyDescent="0.25">
      <c r="A105" t="s">
        <v>130</v>
      </c>
      <c r="F105" t="s">
        <v>131</v>
      </c>
    </row>
    <row r="106" spans="1:12" x14ac:dyDescent="0.25">
      <c r="A106" s="28" t="s">
        <v>128</v>
      </c>
      <c r="G106" s="28" t="s">
        <v>126</v>
      </c>
    </row>
    <row r="107" spans="1:12" x14ac:dyDescent="0.25">
      <c r="A107" t="s">
        <v>129</v>
      </c>
      <c r="G107" t="s">
        <v>127</v>
      </c>
    </row>
  </sheetData>
  <mergeCells count="5">
    <mergeCell ref="A1:O1"/>
    <mergeCell ref="A2:O2"/>
    <mergeCell ref="A3:O3"/>
    <mergeCell ref="A4:O4"/>
    <mergeCell ref="A5:O5"/>
  </mergeCells>
  <pageMargins left="0.7" right="0.7" top="0.75" bottom="0.75" header="0.3" footer="0.3"/>
  <pageSetup scale="52" fitToHeight="0" orientation="landscape" r:id="rId1"/>
  <rowBreaks count="2" manualBreakCount="2">
    <brk id="39" max="16383" man="1"/>
    <brk id="68" max="16383" man="1"/>
  </rowBreaks>
  <colBreaks count="1" manualBreakCount="1">
    <brk id="16" max="10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1A95-9676-403D-B855-14C4231EDF9D}">
  <sheetPr filterMode="1">
    <pageSetUpPr fitToPage="1"/>
  </sheetPr>
  <dimension ref="A1:XCW250"/>
  <sheetViews>
    <sheetView topLeftCell="A6" zoomScale="80" zoomScaleNormal="80" workbookViewId="0">
      <pane xSplit="9" ySplit="10" topLeftCell="Q16" activePane="bottomRight" state="frozen"/>
      <selection activeCell="A6" sqref="A6"/>
      <selection pane="topRight" activeCell="J6" sqref="J6"/>
      <selection pane="bottomLeft" activeCell="A16" sqref="A16"/>
      <selection pane="bottomRight" activeCell="T237" sqref="T237"/>
    </sheetView>
  </sheetViews>
  <sheetFormatPr baseColWidth="10" defaultColWidth="10.5703125" defaultRowHeight="12.75" x14ac:dyDescent="0.2"/>
  <cols>
    <col min="1" max="1" width="3.140625" style="58" customWidth="1"/>
    <col min="2" max="2" width="3.140625" style="59" customWidth="1"/>
    <col min="3" max="6" width="2.5703125" style="60" customWidth="1"/>
    <col min="7" max="7" width="2.5703125" style="161" customWidth="1"/>
    <col min="8" max="8" width="35.5703125" style="60" customWidth="1"/>
    <col min="9" max="22" width="15" style="56" customWidth="1"/>
    <col min="23" max="23" width="17.5703125" style="56" customWidth="1"/>
    <col min="24" max="16384" width="10.5703125" style="60"/>
  </cols>
  <sheetData>
    <row r="1" spans="1:24" s="56" customFormat="1" ht="13.5" hidden="1" customHeight="1" x14ac:dyDescent="0.2">
      <c r="A1" s="49"/>
      <c r="B1" s="50"/>
      <c r="C1" s="51"/>
      <c r="D1" s="52"/>
      <c r="E1" s="52"/>
      <c r="F1" s="52"/>
      <c r="G1" s="53"/>
      <c r="H1" s="54"/>
      <c r="I1" s="55" t="s">
        <v>140</v>
      </c>
      <c r="J1" s="55" t="s">
        <v>140</v>
      </c>
      <c r="K1" s="55" t="s">
        <v>140</v>
      </c>
      <c r="L1" s="55" t="s">
        <v>140</v>
      </c>
      <c r="M1" s="55" t="s">
        <v>140</v>
      </c>
      <c r="N1" s="55" t="s">
        <v>140</v>
      </c>
      <c r="O1" s="55" t="s">
        <v>140</v>
      </c>
      <c r="P1" s="55" t="s">
        <v>140</v>
      </c>
      <c r="Q1" s="55" t="s">
        <v>140</v>
      </c>
      <c r="R1" s="55" t="s">
        <v>140</v>
      </c>
      <c r="S1" s="55" t="s">
        <v>140</v>
      </c>
      <c r="T1" s="55" t="s">
        <v>140</v>
      </c>
      <c r="U1" s="55" t="s">
        <v>140</v>
      </c>
      <c r="V1" s="55" t="s">
        <v>140</v>
      </c>
      <c r="W1" s="55" t="s">
        <v>140</v>
      </c>
    </row>
    <row r="2" spans="1:24" s="56" customFormat="1" ht="13.5" hidden="1" customHeight="1" x14ac:dyDescent="0.2">
      <c r="A2" s="49"/>
      <c r="B2" s="50"/>
      <c r="C2" s="51"/>
      <c r="D2" s="52"/>
      <c r="E2" s="52"/>
      <c r="F2" s="52"/>
      <c r="G2" s="53"/>
      <c r="H2" s="54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s="56" customFormat="1" ht="14.1" hidden="1" customHeight="1" x14ac:dyDescent="0.2">
      <c r="A3" s="49"/>
      <c r="B3" s="50"/>
      <c r="C3" s="51"/>
      <c r="D3" s="52"/>
      <c r="E3" s="52"/>
      <c r="F3" s="52"/>
      <c r="G3" s="53"/>
      <c r="H3" s="54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4" s="56" customFormat="1" ht="13.5" hidden="1" customHeight="1" x14ac:dyDescent="0.2">
      <c r="A4" s="49"/>
      <c r="B4" s="50"/>
      <c r="C4" s="51"/>
      <c r="D4" s="52"/>
      <c r="E4" s="52"/>
      <c r="F4" s="52"/>
      <c r="G4" s="53"/>
      <c r="H4" s="5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s="56" customFormat="1" ht="14.1" hidden="1" customHeight="1" x14ac:dyDescent="0.2">
      <c r="A5" s="49"/>
      <c r="B5" s="50"/>
      <c r="C5" s="51"/>
      <c r="D5" s="52"/>
      <c r="E5" s="52"/>
      <c r="F5" s="52"/>
      <c r="G5" s="53"/>
      <c r="H5" s="54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3" customHeight="1" x14ac:dyDescent="0.2">
      <c r="C6" s="407" t="s">
        <v>141</v>
      </c>
      <c r="D6" s="407" t="s">
        <v>142</v>
      </c>
      <c r="E6" s="407" t="s">
        <v>143</v>
      </c>
      <c r="F6" s="407" t="s">
        <v>144</v>
      </c>
      <c r="G6" s="407" t="s">
        <v>145</v>
      </c>
      <c r="H6" s="404" t="s">
        <v>146</v>
      </c>
      <c r="I6" s="395" t="s">
        <v>140</v>
      </c>
      <c r="J6" s="395" t="s">
        <v>147</v>
      </c>
      <c r="K6" s="395" t="s">
        <v>148</v>
      </c>
      <c r="L6" s="395" t="s">
        <v>84</v>
      </c>
      <c r="M6" s="395" t="s">
        <v>85</v>
      </c>
      <c r="N6" s="395" t="s">
        <v>86</v>
      </c>
      <c r="O6" s="395" t="s">
        <v>87</v>
      </c>
      <c r="P6" s="395" t="s">
        <v>88</v>
      </c>
      <c r="Q6" s="395" t="s">
        <v>89</v>
      </c>
      <c r="R6" s="395" t="s">
        <v>90</v>
      </c>
      <c r="S6" s="395" t="s">
        <v>344</v>
      </c>
      <c r="T6" s="395" t="s">
        <v>115</v>
      </c>
      <c r="U6" s="395" t="s">
        <v>117</v>
      </c>
      <c r="V6" s="398" t="s">
        <v>149</v>
      </c>
      <c r="W6" s="395" t="s">
        <v>150</v>
      </c>
    </row>
    <row r="7" spans="1:24" s="63" customFormat="1" ht="12.75" customHeight="1" x14ac:dyDescent="0.15">
      <c r="A7" s="61"/>
      <c r="B7" s="62"/>
      <c r="C7" s="408"/>
      <c r="D7" s="408"/>
      <c r="E7" s="408"/>
      <c r="F7" s="408"/>
      <c r="G7" s="408"/>
      <c r="H7" s="405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9"/>
      <c r="W7" s="396"/>
    </row>
    <row r="8" spans="1:24" s="63" customFormat="1" ht="6.75" customHeight="1" x14ac:dyDescent="0.15">
      <c r="A8" s="61"/>
      <c r="B8" s="62"/>
      <c r="C8" s="408"/>
      <c r="D8" s="408"/>
      <c r="E8" s="408"/>
      <c r="F8" s="408"/>
      <c r="G8" s="408"/>
      <c r="H8" s="405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9"/>
      <c r="W8" s="396"/>
    </row>
    <row r="9" spans="1:24" s="63" customFormat="1" ht="8.25" customHeight="1" x14ac:dyDescent="0.15">
      <c r="A9" s="61"/>
      <c r="B9" s="62"/>
      <c r="C9" s="408"/>
      <c r="D9" s="408"/>
      <c r="E9" s="408"/>
      <c r="F9" s="408"/>
      <c r="G9" s="408"/>
      <c r="H9" s="405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9"/>
      <c r="W9" s="396"/>
    </row>
    <row r="10" spans="1:24" s="63" customFormat="1" ht="6.75" customHeight="1" x14ac:dyDescent="0.15">
      <c r="A10" s="61"/>
      <c r="B10" s="62"/>
      <c r="C10" s="408"/>
      <c r="D10" s="408"/>
      <c r="E10" s="408"/>
      <c r="F10" s="408"/>
      <c r="G10" s="408"/>
      <c r="H10" s="405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9"/>
      <c r="W10" s="396"/>
    </row>
    <row r="11" spans="1:24" s="63" customFormat="1" ht="14.45" customHeight="1" x14ac:dyDescent="0.15">
      <c r="A11" s="61"/>
      <c r="B11" s="62"/>
      <c r="C11" s="408"/>
      <c r="D11" s="408"/>
      <c r="E11" s="408"/>
      <c r="F11" s="408"/>
      <c r="G11" s="408"/>
      <c r="H11" s="405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9"/>
      <c r="W11" s="396"/>
    </row>
    <row r="12" spans="1:24" s="63" customFormat="1" ht="15.95" customHeight="1" x14ac:dyDescent="0.15">
      <c r="A12" s="61"/>
      <c r="B12" s="62"/>
      <c r="C12" s="408"/>
      <c r="D12" s="408"/>
      <c r="E12" s="408"/>
      <c r="F12" s="408"/>
      <c r="G12" s="408"/>
      <c r="H12" s="405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9"/>
      <c r="W12" s="396"/>
    </row>
    <row r="13" spans="1:24" s="63" customFormat="1" ht="7.5" customHeight="1" x14ac:dyDescent="0.15">
      <c r="A13" s="61"/>
      <c r="B13" s="62"/>
      <c r="C13" s="408"/>
      <c r="D13" s="408"/>
      <c r="E13" s="408"/>
      <c r="F13" s="408"/>
      <c r="G13" s="408"/>
      <c r="H13" s="405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9"/>
      <c r="W13" s="396"/>
    </row>
    <row r="14" spans="1:24" s="63" customFormat="1" ht="11.25" customHeight="1" x14ac:dyDescent="0.15">
      <c r="A14" s="61"/>
      <c r="B14" s="62"/>
      <c r="C14" s="408"/>
      <c r="D14" s="408"/>
      <c r="E14" s="408"/>
      <c r="F14" s="408"/>
      <c r="G14" s="408"/>
      <c r="H14" s="40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9"/>
      <c r="W14" s="396"/>
    </row>
    <row r="15" spans="1:24" s="65" customFormat="1" ht="32.1" customHeight="1" thickBot="1" x14ac:dyDescent="0.3">
      <c r="A15" s="64"/>
      <c r="B15" s="64"/>
      <c r="C15" s="409"/>
      <c r="D15" s="409"/>
      <c r="E15" s="409"/>
      <c r="F15" s="409"/>
      <c r="G15" s="409"/>
      <c r="H15" s="406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400"/>
      <c r="W15" s="397"/>
    </row>
    <row r="16" spans="1:24" s="74" customFormat="1" ht="13.5" thickBot="1" x14ac:dyDescent="0.25">
      <c r="A16" s="66">
        <v>21</v>
      </c>
      <c r="B16" s="67">
        <v>1</v>
      </c>
      <c r="C16" s="68">
        <v>2</v>
      </c>
      <c r="D16" s="69">
        <v>1</v>
      </c>
      <c r="E16" s="69"/>
      <c r="F16" s="69"/>
      <c r="G16" s="70"/>
      <c r="H16" s="71" t="s">
        <v>151</v>
      </c>
      <c r="I16" s="72">
        <f t="shared" ref="I16:W16" si="0">I18+I35+I44+I56+I51</f>
        <v>41787516</v>
      </c>
      <c r="J16" s="72">
        <f t="shared" si="0"/>
        <v>3231956.3099999996</v>
      </c>
      <c r="K16" s="72">
        <f t="shared" si="0"/>
        <v>3263606.3099999996</v>
      </c>
      <c r="L16" s="72">
        <f t="shared" si="0"/>
        <v>3295256.3099999996</v>
      </c>
      <c r="M16" s="72">
        <f t="shared" si="0"/>
        <v>3236951.2199999997</v>
      </c>
      <c r="N16" s="72">
        <f t="shared" si="0"/>
        <v>3180788.6</v>
      </c>
      <c r="O16" s="72">
        <f t="shared" si="0"/>
        <v>3202168.15</v>
      </c>
      <c r="P16" s="72">
        <f t="shared" si="0"/>
        <v>3392918.6799999997</v>
      </c>
      <c r="Q16" s="72">
        <f t="shared" si="0"/>
        <v>3770860.4</v>
      </c>
      <c r="R16" s="72">
        <f t="shared" si="0"/>
        <v>3565315.9899999998</v>
      </c>
      <c r="S16" s="72">
        <f t="shared" si="0"/>
        <v>3032763.7</v>
      </c>
      <c r="T16" s="72">
        <f t="shared" si="0"/>
        <v>8414320.4299999997</v>
      </c>
      <c r="U16" s="72">
        <f t="shared" si="0"/>
        <v>2947928.07</v>
      </c>
      <c r="V16" s="72">
        <f t="shared" si="0"/>
        <v>44534834.170000009</v>
      </c>
      <c r="W16" s="72">
        <f t="shared" si="0"/>
        <v>-2747318.1700000013</v>
      </c>
      <c r="X16" s="73"/>
    </row>
    <row r="17" spans="1:24" s="164" customFormat="1" ht="13.5" hidden="1" thickBot="1" x14ac:dyDescent="0.25"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6">
        <f t="shared" ref="P17:T17" si="1">P239</f>
        <v>0</v>
      </c>
      <c r="Q17" s="166">
        <f t="shared" si="1"/>
        <v>0</v>
      </c>
      <c r="R17" s="166">
        <f t="shared" si="1"/>
        <v>0</v>
      </c>
      <c r="S17" s="166">
        <f t="shared" si="1"/>
        <v>0</v>
      </c>
      <c r="T17" s="166">
        <f t="shared" si="1"/>
        <v>0</v>
      </c>
      <c r="U17" s="166">
        <v>0</v>
      </c>
      <c r="V17" s="165"/>
      <c r="W17" s="165"/>
      <c r="X17" s="167"/>
    </row>
    <row r="18" spans="1:24" s="83" customFormat="1" ht="13.5" hidden="1" thickBot="1" x14ac:dyDescent="0.25">
      <c r="A18" s="76">
        <v>21</v>
      </c>
      <c r="B18" s="77">
        <v>2</v>
      </c>
      <c r="C18" s="78">
        <v>2</v>
      </c>
      <c r="D18" s="79">
        <v>1</v>
      </c>
      <c r="E18" s="79">
        <v>1</v>
      </c>
      <c r="F18" s="79"/>
      <c r="G18" s="80"/>
      <c r="H18" s="81" t="s">
        <v>152</v>
      </c>
      <c r="I18" s="82">
        <f t="shared" ref="I18:W18" si="2">I19+I21+I28+I29+I30</f>
        <v>34522488</v>
      </c>
      <c r="J18" s="82">
        <f t="shared" si="2"/>
        <v>2770472.26</v>
      </c>
      <c r="K18" s="82">
        <f t="shared" si="2"/>
        <v>2770472.26</v>
      </c>
      <c r="L18" s="82">
        <f t="shared" si="2"/>
        <v>2770472.26</v>
      </c>
      <c r="M18" s="82">
        <f t="shared" si="2"/>
        <v>2747372.26</v>
      </c>
      <c r="N18" s="82">
        <f t="shared" si="2"/>
        <v>2728692.06</v>
      </c>
      <c r="O18" s="82">
        <f t="shared" si="2"/>
        <v>2780646.1</v>
      </c>
      <c r="P18" s="168">
        <f t="shared" si="2"/>
        <v>2957222.13</v>
      </c>
      <c r="Q18" s="82">
        <f t="shared" si="2"/>
        <v>2497469.94</v>
      </c>
      <c r="R18" s="82">
        <f t="shared" si="2"/>
        <v>3136174.38</v>
      </c>
      <c r="S18" s="82">
        <f t="shared" si="2"/>
        <v>2595967.62</v>
      </c>
      <c r="T18" s="82">
        <f t="shared" si="2"/>
        <v>5444334.6099999994</v>
      </c>
      <c r="U18" s="82">
        <f t="shared" ref="U18" si="3">U19+U21+U28+U29+U30</f>
        <v>2518267.62</v>
      </c>
      <c r="V18" s="82">
        <f t="shared" si="2"/>
        <v>35717563.500000007</v>
      </c>
      <c r="W18" s="82">
        <f t="shared" si="2"/>
        <v>-1195075.5000000023</v>
      </c>
      <c r="X18" s="73"/>
    </row>
    <row r="19" spans="1:24" s="83" customFormat="1" ht="13.5" hidden="1" thickBot="1" x14ac:dyDescent="0.25">
      <c r="A19" s="76">
        <v>21</v>
      </c>
      <c r="B19" s="77">
        <v>3</v>
      </c>
      <c r="C19" s="78">
        <v>2</v>
      </c>
      <c r="D19" s="79">
        <v>1</v>
      </c>
      <c r="E19" s="79">
        <v>1</v>
      </c>
      <c r="F19" s="79">
        <v>1</v>
      </c>
      <c r="G19" s="80"/>
      <c r="H19" s="81" t="s">
        <v>153</v>
      </c>
      <c r="I19" s="82">
        <f t="shared" ref="I19:W19" si="4">I20</f>
        <v>30251161.32</v>
      </c>
      <c r="J19" s="82">
        <f t="shared" si="4"/>
        <v>2282018.7799999998</v>
      </c>
      <c r="K19" s="82">
        <f t="shared" si="4"/>
        <v>2282018.7799999998</v>
      </c>
      <c r="L19" s="82">
        <f t="shared" si="4"/>
        <v>2413969.94</v>
      </c>
      <c r="M19" s="82">
        <f t="shared" si="4"/>
        <v>2475869.94</v>
      </c>
      <c r="N19" s="82">
        <f t="shared" si="4"/>
        <v>2435869.9400000004</v>
      </c>
      <c r="O19" s="82">
        <f t="shared" si="4"/>
        <v>2479869.94</v>
      </c>
      <c r="P19" s="82">
        <f t="shared" si="4"/>
        <v>2508869.94</v>
      </c>
      <c r="Q19" s="82">
        <f t="shared" si="4"/>
        <v>2479869.94</v>
      </c>
      <c r="R19" s="82">
        <f t="shared" si="4"/>
        <v>2417918.7799999998</v>
      </c>
      <c r="S19" s="82">
        <f t="shared" si="4"/>
        <v>2578367.62</v>
      </c>
      <c r="T19" s="82">
        <f t="shared" si="4"/>
        <v>2503416.46</v>
      </c>
      <c r="U19" s="82">
        <f t="shared" si="4"/>
        <v>2425667.62</v>
      </c>
      <c r="V19" s="82">
        <f t="shared" si="4"/>
        <v>29283727.680000003</v>
      </c>
      <c r="W19" s="82">
        <f t="shared" si="4"/>
        <v>967433.63999999687</v>
      </c>
      <c r="X19" s="73"/>
    </row>
    <row r="20" spans="1:24" s="74" customFormat="1" ht="13.5" hidden="1" thickBot="1" x14ac:dyDescent="0.25">
      <c r="A20" s="66">
        <v>21</v>
      </c>
      <c r="B20" s="67">
        <v>4</v>
      </c>
      <c r="C20" s="84">
        <v>2</v>
      </c>
      <c r="D20" s="85">
        <v>1</v>
      </c>
      <c r="E20" s="85">
        <v>1</v>
      </c>
      <c r="F20" s="85">
        <v>1</v>
      </c>
      <c r="G20" s="86" t="s">
        <v>154</v>
      </c>
      <c r="H20" s="87" t="s">
        <v>155</v>
      </c>
      <c r="I20" s="88">
        <v>30251161.32</v>
      </c>
      <c r="J20" s="88">
        <v>2282018.7799999998</v>
      </c>
      <c r="K20" s="88">
        <v>2282018.7799999998</v>
      </c>
      <c r="L20" s="88">
        <v>2413969.94</v>
      </c>
      <c r="M20" s="88">
        <v>2475869.94</v>
      </c>
      <c r="N20" s="88">
        <v>2435869.9400000004</v>
      </c>
      <c r="O20" s="88">
        <v>2479869.94</v>
      </c>
      <c r="P20" s="99">
        <v>2508869.94</v>
      </c>
      <c r="Q20" s="99">
        <v>2479869.94</v>
      </c>
      <c r="R20" s="88">
        <v>2417918.7799999998</v>
      </c>
      <c r="S20" s="88">
        <v>2578367.62</v>
      </c>
      <c r="T20" s="88">
        <f>2335051.46+45000+40000+83365</f>
        <v>2503416.46</v>
      </c>
      <c r="U20" s="88">
        <v>2425667.62</v>
      </c>
      <c r="V20" s="88">
        <f>SUM(J20:U20)</f>
        <v>29283727.680000003</v>
      </c>
      <c r="W20" s="88">
        <f>I20-V20</f>
        <v>967433.63999999687</v>
      </c>
      <c r="X20" s="73"/>
    </row>
    <row r="21" spans="1:24" s="83" customFormat="1" ht="13.5" hidden="1" thickBot="1" x14ac:dyDescent="0.25">
      <c r="A21" s="66">
        <v>21</v>
      </c>
      <c r="B21" s="77">
        <v>3</v>
      </c>
      <c r="C21" s="78">
        <v>2</v>
      </c>
      <c r="D21" s="79">
        <v>1</v>
      </c>
      <c r="E21" s="79">
        <v>1</v>
      </c>
      <c r="F21" s="79">
        <v>2</v>
      </c>
      <c r="G21" s="80"/>
      <c r="H21" s="81" t="s">
        <v>156</v>
      </c>
      <c r="I21" s="82">
        <f t="shared" ref="I21:W21" si="5">SUM(I22:I27)</f>
        <v>1176903</v>
      </c>
      <c r="J21" s="82">
        <f t="shared" si="5"/>
        <v>216951.16</v>
      </c>
      <c r="K21" s="82">
        <f t="shared" si="5"/>
        <v>216951.16</v>
      </c>
      <c r="L21" s="82">
        <f t="shared" si="5"/>
        <v>85000</v>
      </c>
      <c r="M21" s="82">
        <f t="shared" si="5"/>
        <v>0</v>
      </c>
      <c r="N21" s="82">
        <f t="shared" si="5"/>
        <v>0</v>
      </c>
      <c r="O21" s="82">
        <f t="shared" si="5"/>
        <v>0</v>
      </c>
      <c r="P21" s="82">
        <f t="shared" si="5"/>
        <v>0</v>
      </c>
      <c r="Q21" s="82">
        <f t="shared" si="5"/>
        <v>0</v>
      </c>
      <c r="R21" s="82">
        <f t="shared" si="5"/>
        <v>129229.35</v>
      </c>
      <c r="S21" s="82">
        <f t="shared" si="5"/>
        <v>0</v>
      </c>
      <c r="T21" s="82">
        <f>SUM(T22:T27)</f>
        <v>225000</v>
      </c>
      <c r="U21" s="82">
        <f>SUM(U22:U27)</f>
        <v>75000</v>
      </c>
      <c r="V21" s="82">
        <f t="shared" si="5"/>
        <v>948131.66999999993</v>
      </c>
      <c r="W21" s="82">
        <f t="shared" si="5"/>
        <v>228771.33000000002</v>
      </c>
      <c r="X21" s="73"/>
    </row>
    <row r="22" spans="1:24" s="74" customFormat="1" ht="13.5" hidden="1" thickBot="1" x14ac:dyDescent="0.25">
      <c r="A22" s="66">
        <v>21</v>
      </c>
      <c r="B22" s="67">
        <v>4</v>
      </c>
      <c r="C22" s="84">
        <v>2</v>
      </c>
      <c r="D22" s="85">
        <v>1</v>
      </c>
      <c r="E22" s="85">
        <v>1</v>
      </c>
      <c r="F22" s="85">
        <v>2</v>
      </c>
      <c r="G22" s="86" t="s">
        <v>154</v>
      </c>
      <c r="H22" s="87" t="s">
        <v>157</v>
      </c>
      <c r="I22" s="88">
        <v>521903</v>
      </c>
      <c r="J22" s="88">
        <v>216951.16</v>
      </c>
      <c r="K22" s="88">
        <v>216951.16</v>
      </c>
      <c r="L22" s="88">
        <v>85000</v>
      </c>
      <c r="M22" s="88"/>
      <c r="N22" s="88"/>
      <c r="O22" s="88"/>
      <c r="P22" s="88"/>
      <c r="Q22" s="88"/>
      <c r="R22" s="88"/>
      <c r="S22" s="88"/>
      <c r="T22" s="88"/>
      <c r="U22" s="88"/>
      <c r="V22" s="88">
        <f t="shared" ref="V22:V29" si="6">SUM(J22:U22)</f>
        <v>518902.32</v>
      </c>
      <c r="W22" s="88">
        <f t="shared" ref="W22:W29" si="7">I22-V22</f>
        <v>3000.679999999993</v>
      </c>
      <c r="X22" s="73"/>
    </row>
    <row r="23" spans="1:24" s="74" customFormat="1" ht="13.5" hidden="1" thickBot="1" x14ac:dyDescent="0.25">
      <c r="A23" s="66">
        <v>21</v>
      </c>
      <c r="B23" s="67">
        <v>4</v>
      </c>
      <c r="C23" s="84">
        <v>2</v>
      </c>
      <c r="D23" s="85">
        <v>1</v>
      </c>
      <c r="E23" s="85">
        <v>1</v>
      </c>
      <c r="F23" s="85">
        <v>2</v>
      </c>
      <c r="G23" s="86" t="s">
        <v>158</v>
      </c>
      <c r="H23" s="87" t="s">
        <v>159</v>
      </c>
      <c r="I23" s="88">
        <v>0</v>
      </c>
      <c r="J23" s="88"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>
        <f t="shared" si="6"/>
        <v>0</v>
      </c>
      <c r="W23" s="88">
        <f t="shared" si="7"/>
        <v>0</v>
      </c>
      <c r="X23" s="73"/>
    </row>
    <row r="24" spans="1:24" s="74" customFormat="1" ht="13.5" hidden="1" thickBot="1" x14ac:dyDescent="0.25">
      <c r="A24" s="66">
        <v>21</v>
      </c>
      <c r="B24" s="67">
        <v>4</v>
      </c>
      <c r="C24" s="84">
        <v>2</v>
      </c>
      <c r="D24" s="85">
        <v>1</v>
      </c>
      <c r="E24" s="85">
        <v>1</v>
      </c>
      <c r="F24" s="85">
        <v>2</v>
      </c>
      <c r="G24" s="86" t="s">
        <v>160</v>
      </c>
      <c r="H24" s="87" t="s">
        <v>161</v>
      </c>
      <c r="I24" s="88">
        <v>429250</v>
      </c>
      <c r="J24" s="88"/>
      <c r="K24" s="88">
        <v>0</v>
      </c>
      <c r="L24" s="88">
        <v>0</v>
      </c>
      <c r="M24" s="88"/>
      <c r="N24" s="88"/>
      <c r="O24" s="88"/>
      <c r="P24" s="88"/>
      <c r="Q24" s="88"/>
      <c r="R24" s="88">
        <v>129229.35</v>
      </c>
      <c r="S24" s="88"/>
      <c r="T24" s="88">
        <f>225000</f>
        <v>225000</v>
      </c>
      <c r="U24" s="88">
        <v>75000</v>
      </c>
      <c r="V24" s="88">
        <f t="shared" si="6"/>
        <v>429229.35</v>
      </c>
      <c r="W24" s="88">
        <f t="shared" si="7"/>
        <v>20.650000000023283</v>
      </c>
      <c r="X24" s="73"/>
    </row>
    <row r="25" spans="1:24" s="74" customFormat="1" ht="13.5" hidden="1" thickBot="1" x14ac:dyDescent="0.25">
      <c r="A25" s="66">
        <v>21</v>
      </c>
      <c r="B25" s="67">
        <v>4</v>
      </c>
      <c r="C25" s="84">
        <v>2</v>
      </c>
      <c r="D25" s="85">
        <v>1</v>
      </c>
      <c r="E25" s="85">
        <v>1</v>
      </c>
      <c r="F25" s="85">
        <v>2</v>
      </c>
      <c r="G25" s="86" t="s">
        <v>162</v>
      </c>
      <c r="H25" s="87" t="s">
        <v>163</v>
      </c>
      <c r="I25" s="88">
        <v>0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>
        <f t="shared" si="6"/>
        <v>0</v>
      </c>
      <c r="W25" s="88">
        <f t="shared" si="7"/>
        <v>0</v>
      </c>
      <c r="X25" s="73"/>
    </row>
    <row r="26" spans="1:24" s="74" customFormat="1" ht="13.5" hidden="1" thickBot="1" x14ac:dyDescent="0.25">
      <c r="A26" s="66">
        <v>21</v>
      </c>
      <c r="B26" s="67">
        <v>4</v>
      </c>
      <c r="C26" s="84">
        <v>2</v>
      </c>
      <c r="D26" s="85">
        <v>1</v>
      </c>
      <c r="E26" s="85">
        <v>1</v>
      </c>
      <c r="F26" s="85">
        <v>2</v>
      </c>
      <c r="G26" s="86" t="s">
        <v>164</v>
      </c>
      <c r="H26" s="87" t="s">
        <v>165</v>
      </c>
      <c r="I26" s="88"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>
        <f t="shared" si="6"/>
        <v>0</v>
      </c>
      <c r="W26" s="88">
        <f t="shared" si="7"/>
        <v>0</v>
      </c>
      <c r="X26" s="73"/>
    </row>
    <row r="27" spans="1:24" s="74" customFormat="1" ht="13.5" hidden="1" thickBot="1" x14ac:dyDescent="0.25">
      <c r="A27" s="66">
        <v>21</v>
      </c>
      <c r="B27" s="67">
        <v>4</v>
      </c>
      <c r="C27" s="84">
        <v>2</v>
      </c>
      <c r="D27" s="85">
        <v>1</v>
      </c>
      <c r="E27" s="85">
        <v>1</v>
      </c>
      <c r="F27" s="85">
        <v>2</v>
      </c>
      <c r="G27" s="86" t="s">
        <v>166</v>
      </c>
      <c r="H27" s="89"/>
      <c r="I27" s="88">
        <v>225750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>
        <f t="shared" si="6"/>
        <v>0</v>
      </c>
      <c r="W27" s="88">
        <f t="shared" si="7"/>
        <v>225750</v>
      </c>
      <c r="X27" s="73"/>
    </row>
    <row r="28" spans="1:24" s="83" customFormat="1" ht="13.5" hidden="1" thickBot="1" x14ac:dyDescent="0.25">
      <c r="A28" s="66">
        <v>21</v>
      </c>
      <c r="B28" s="77">
        <v>3</v>
      </c>
      <c r="C28" s="90">
        <v>2</v>
      </c>
      <c r="D28" s="91">
        <v>1</v>
      </c>
      <c r="E28" s="91">
        <v>1</v>
      </c>
      <c r="F28" s="91">
        <v>3</v>
      </c>
      <c r="G28" s="92"/>
      <c r="H28" s="93" t="s">
        <v>167</v>
      </c>
      <c r="I28" s="94">
        <v>3125388</v>
      </c>
      <c r="J28" s="95">
        <v>271502.32</v>
      </c>
      <c r="K28" s="96">
        <v>271502.32</v>
      </c>
      <c r="L28" s="96">
        <v>271502.32</v>
      </c>
      <c r="M28" s="96">
        <v>271502.32</v>
      </c>
      <c r="N28" s="96">
        <v>271502.32</v>
      </c>
      <c r="O28" s="96">
        <v>139076.16</v>
      </c>
      <c r="P28" s="96">
        <v>17600</v>
      </c>
      <c r="Q28" s="96">
        <v>17600</v>
      </c>
      <c r="R28" s="97">
        <v>17600</v>
      </c>
      <c r="S28" s="97">
        <v>17600</v>
      </c>
      <c r="T28" s="97">
        <v>17600</v>
      </c>
      <c r="U28" s="97">
        <v>17600</v>
      </c>
      <c r="V28" s="88">
        <f t="shared" si="6"/>
        <v>1602187.76</v>
      </c>
      <c r="W28" s="88">
        <f t="shared" si="7"/>
        <v>1523200.24</v>
      </c>
      <c r="X28" s="73"/>
    </row>
    <row r="29" spans="1:24" s="83" customFormat="1" ht="13.5" hidden="1" thickBot="1" x14ac:dyDescent="0.25">
      <c r="A29" s="66">
        <v>21</v>
      </c>
      <c r="B29" s="77">
        <v>3</v>
      </c>
      <c r="C29" s="90">
        <v>2</v>
      </c>
      <c r="D29" s="91">
        <v>1</v>
      </c>
      <c r="E29" s="91">
        <v>1</v>
      </c>
      <c r="F29" s="91">
        <v>4</v>
      </c>
      <c r="G29" s="92"/>
      <c r="H29" s="93" t="s">
        <v>168</v>
      </c>
      <c r="I29" s="97">
        <v>2896502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>
        <f>2342914.3+45000+166300.77+144103.08</f>
        <v>2698318.15</v>
      </c>
      <c r="U29" s="97"/>
      <c r="V29" s="88">
        <f t="shared" si="6"/>
        <v>2698318.15</v>
      </c>
      <c r="W29" s="88">
        <f t="shared" si="7"/>
        <v>198183.85000000009</v>
      </c>
      <c r="X29" s="73"/>
    </row>
    <row r="30" spans="1:24" s="83" customFormat="1" ht="13.5" hidden="1" thickBot="1" x14ac:dyDescent="0.25">
      <c r="A30" s="76">
        <v>21</v>
      </c>
      <c r="B30" s="77">
        <v>3</v>
      </c>
      <c r="C30" s="78">
        <v>2</v>
      </c>
      <c r="D30" s="79">
        <v>1</v>
      </c>
      <c r="E30" s="79">
        <v>1</v>
      </c>
      <c r="F30" s="79">
        <v>5</v>
      </c>
      <c r="G30" s="80"/>
      <c r="H30" s="81" t="s">
        <v>169</v>
      </c>
      <c r="I30" s="82">
        <f t="shared" ref="I30:W30" si="8">SUM(I31:I34)</f>
        <v>-2927466.32</v>
      </c>
      <c r="J30" s="82">
        <f t="shared" si="8"/>
        <v>0</v>
      </c>
      <c r="K30" s="82">
        <f t="shared" si="8"/>
        <v>0</v>
      </c>
      <c r="L30" s="82">
        <f t="shared" si="8"/>
        <v>0</v>
      </c>
      <c r="M30" s="82">
        <f t="shared" si="8"/>
        <v>0</v>
      </c>
      <c r="N30" s="82">
        <f t="shared" si="8"/>
        <v>21319.8</v>
      </c>
      <c r="O30" s="82">
        <f t="shared" si="8"/>
        <v>161700</v>
      </c>
      <c r="P30" s="82">
        <f t="shared" si="8"/>
        <v>430752.19</v>
      </c>
      <c r="Q30" s="82">
        <f t="shared" si="8"/>
        <v>0</v>
      </c>
      <c r="R30" s="82">
        <f t="shared" si="8"/>
        <v>571426.25</v>
      </c>
      <c r="S30" s="82">
        <f t="shared" si="8"/>
        <v>0</v>
      </c>
      <c r="T30" s="82">
        <f t="shared" si="8"/>
        <v>0</v>
      </c>
      <c r="U30" s="82">
        <f t="shared" si="8"/>
        <v>0</v>
      </c>
      <c r="V30" s="82">
        <f t="shared" si="8"/>
        <v>1185198.24</v>
      </c>
      <c r="W30" s="82">
        <f t="shared" si="8"/>
        <v>-4112664.5599999996</v>
      </c>
      <c r="X30" s="73"/>
    </row>
    <row r="31" spans="1:24" s="74" customFormat="1" ht="13.5" hidden="1" thickBot="1" x14ac:dyDescent="0.25">
      <c r="A31" s="66">
        <v>21</v>
      </c>
      <c r="B31" s="67">
        <v>4</v>
      </c>
      <c r="C31" s="84">
        <v>2</v>
      </c>
      <c r="D31" s="85">
        <v>1</v>
      </c>
      <c r="E31" s="85">
        <v>1</v>
      </c>
      <c r="F31" s="85">
        <v>5</v>
      </c>
      <c r="G31" s="86" t="s">
        <v>154</v>
      </c>
      <c r="H31" s="98" t="s">
        <v>169</v>
      </c>
      <c r="I31" s="88">
        <v>341500</v>
      </c>
      <c r="J31" s="88"/>
      <c r="K31" s="88"/>
      <c r="L31" s="88"/>
      <c r="M31" s="88"/>
      <c r="N31" s="88"/>
      <c r="O31" s="88">
        <v>161700</v>
      </c>
      <c r="P31" s="88">
        <v>320000</v>
      </c>
      <c r="Q31" s="88"/>
      <c r="R31" s="88"/>
      <c r="S31" s="88"/>
      <c r="T31" s="88"/>
      <c r="U31" s="88"/>
      <c r="V31" s="88">
        <f>SUM(J31:U31)</f>
        <v>481700</v>
      </c>
      <c r="W31" s="88">
        <f>I31-V31</f>
        <v>-140200</v>
      </c>
      <c r="X31" s="73"/>
    </row>
    <row r="32" spans="1:24" s="74" customFormat="1" ht="13.5" hidden="1" thickBot="1" x14ac:dyDescent="0.25">
      <c r="A32" s="66">
        <v>21</v>
      </c>
      <c r="B32" s="67">
        <v>4</v>
      </c>
      <c r="C32" s="84">
        <v>2</v>
      </c>
      <c r="D32" s="85">
        <v>1</v>
      </c>
      <c r="E32" s="85">
        <v>1</v>
      </c>
      <c r="F32" s="85">
        <v>5</v>
      </c>
      <c r="G32" s="86" t="s">
        <v>158</v>
      </c>
      <c r="H32" s="98" t="s">
        <v>170</v>
      </c>
      <c r="I32" s="88">
        <v>0</v>
      </c>
      <c r="J32" s="88"/>
      <c r="K32" s="88"/>
      <c r="L32" s="88"/>
      <c r="M32" s="88">
        <v>0</v>
      </c>
      <c r="N32" s="88"/>
      <c r="O32" s="88"/>
      <c r="P32" s="88"/>
      <c r="Q32" s="88"/>
      <c r="R32" s="88"/>
      <c r="S32" s="88"/>
      <c r="T32" s="88"/>
      <c r="U32" s="88"/>
      <c r="V32" s="88">
        <f>SUM(J32:U32)</f>
        <v>0</v>
      </c>
      <c r="W32" s="88">
        <f>I32-V32</f>
        <v>0</v>
      </c>
      <c r="X32" s="73"/>
    </row>
    <row r="33" spans="1:24" s="74" customFormat="1" ht="13.5" hidden="1" thickBot="1" x14ac:dyDescent="0.25">
      <c r="A33" s="66">
        <v>21</v>
      </c>
      <c r="B33" s="67">
        <v>4</v>
      </c>
      <c r="C33" s="84">
        <v>2</v>
      </c>
      <c r="D33" s="85">
        <v>1</v>
      </c>
      <c r="E33" s="85">
        <v>1</v>
      </c>
      <c r="F33" s="85">
        <v>5</v>
      </c>
      <c r="G33" s="86" t="s">
        <v>160</v>
      </c>
      <c r="H33" s="98" t="s">
        <v>171</v>
      </c>
      <c r="I33" s="99">
        <v>-3972539.32</v>
      </c>
      <c r="J33" s="88"/>
      <c r="K33" s="88"/>
      <c r="L33" s="88"/>
      <c r="M33" s="88">
        <v>0</v>
      </c>
      <c r="N33" s="88"/>
      <c r="O33" s="88"/>
      <c r="P33" s="88"/>
      <c r="Q33" s="88"/>
      <c r="R33" s="88"/>
      <c r="S33" s="88"/>
      <c r="T33" s="88"/>
      <c r="U33" s="88"/>
      <c r="V33" s="88">
        <f>SUM(J33:U33)</f>
        <v>0</v>
      </c>
      <c r="W33" s="88">
        <f>I33-V33</f>
        <v>-3972539.32</v>
      </c>
      <c r="X33" s="73"/>
    </row>
    <row r="34" spans="1:24" s="74" customFormat="1" ht="13.5" hidden="1" thickBot="1" x14ac:dyDescent="0.25">
      <c r="A34" s="66">
        <v>21</v>
      </c>
      <c r="B34" s="67">
        <v>4</v>
      </c>
      <c r="C34" s="84">
        <v>2</v>
      </c>
      <c r="D34" s="85">
        <v>1</v>
      </c>
      <c r="E34" s="85">
        <v>1</v>
      </c>
      <c r="F34" s="85">
        <v>5</v>
      </c>
      <c r="G34" s="86" t="s">
        <v>162</v>
      </c>
      <c r="H34" s="98" t="s">
        <v>172</v>
      </c>
      <c r="I34" s="88">
        <v>703573</v>
      </c>
      <c r="J34" s="88"/>
      <c r="K34" s="88"/>
      <c r="L34" s="88"/>
      <c r="M34" s="88"/>
      <c r="N34" s="88">
        <v>21319.8</v>
      </c>
      <c r="O34" s="88"/>
      <c r="P34" s="88">
        <v>110752.19</v>
      </c>
      <c r="Q34" s="88"/>
      <c r="R34" s="88">
        <v>571426.25</v>
      </c>
      <c r="S34" s="88"/>
      <c r="T34" s="88"/>
      <c r="U34" s="88"/>
      <c r="V34" s="88">
        <f>SUM(J34:U34)</f>
        <v>703498.23999999999</v>
      </c>
      <c r="W34" s="88">
        <f>I34-V34</f>
        <v>74.760000000009313</v>
      </c>
      <c r="X34" s="73"/>
    </row>
    <row r="35" spans="1:24" s="74" customFormat="1" ht="13.5" hidden="1" thickBot="1" x14ac:dyDescent="0.25">
      <c r="A35" s="66">
        <v>21</v>
      </c>
      <c r="B35" s="67">
        <v>2</v>
      </c>
      <c r="C35" s="78">
        <v>2</v>
      </c>
      <c r="D35" s="79">
        <v>1</v>
      </c>
      <c r="E35" s="79">
        <v>2</v>
      </c>
      <c r="F35" s="79"/>
      <c r="G35" s="100"/>
      <c r="H35" s="81" t="s">
        <v>173</v>
      </c>
      <c r="I35" s="82">
        <f t="shared" ref="I35:W35" si="9">+I36</f>
        <v>1741000</v>
      </c>
      <c r="J35" s="82">
        <f t="shared" si="9"/>
        <v>56250</v>
      </c>
      <c r="K35" s="82">
        <f t="shared" si="9"/>
        <v>56250</v>
      </c>
      <c r="L35" s="82">
        <f t="shared" si="9"/>
        <v>56250</v>
      </c>
      <c r="M35" s="82">
        <f t="shared" si="9"/>
        <v>56250</v>
      </c>
      <c r="N35" s="82">
        <f t="shared" si="9"/>
        <v>56250</v>
      </c>
      <c r="O35" s="82">
        <f t="shared" si="9"/>
        <v>41250</v>
      </c>
      <c r="P35" s="82">
        <f t="shared" si="9"/>
        <v>71250</v>
      </c>
      <c r="Q35" s="82">
        <f t="shared" si="9"/>
        <v>907671.48</v>
      </c>
      <c r="R35" s="82">
        <f t="shared" si="9"/>
        <v>56250</v>
      </c>
      <c r="S35" s="82">
        <f t="shared" si="9"/>
        <v>56250</v>
      </c>
      <c r="T35" s="82">
        <f t="shared" si="9"/>
        <v>2568635.6800000002</v>
      </c>
      <c r="U35" s="82">
        <f t="shared" si="9"/>
        <v>56250</v>
      </c>
      <c r="V35" s="82">
        <f t="shared" si="9"/>
        <v>4038807.16</v>
      </c>
      <c r="W35" s="82">
        <f t="shared" si="9"/>
        <v>-2297807.16</v>
      </c>
      <c r="X35" s="73"/>
    </row>
    <row r="36" spans="1:24" s="83" customFormat="1" ht="13.5" hidden="1" thickBot="1" x14ac:dyDescent="0.25">
      <c r="A36" s="76">
        <v>21</v>
      </c>
      <c r="B36" s="77">
        <v>3</v>
      </c>
      <c r="C36" s="78">
        <v>2</v>
      </c>
      <c r="D36" s="79">
        <v>1</v>
      </c>
      <c r="E36" s="79">
        <v>2</v>
      </c>
      <c r="F36" s="79">
        <v>2</v>
      </c>
      <c r="G36" s="80"/>
      <c r="H36" s="81" t="s">
        <v>174</v>
      </c>
      <c r="I36" s="82">
        <f t="shared" ref="I36:W36" si="10">SUM(I37:I42)</f>
        <v>1741000</v>
      </c>
      <c r="J36" s="82">
        <f t="shared" si="10"/>
        <v>56250</v>
      </c>
      <c r="K36" s="82">
        <f t="shared" si="10"/>
        <v>56250</v>
      </c>
      <c r="L36" s="82">
        <f t="shared" si="10"/>
        <v>56250</v>
      </c>
      <c r="M36" s="82">
        <f t="shared" si="10"/>
        <v>56250</v>
      </c>
      <c r="N36" s="82">
        <f t="shared" si="10"/>
        <v>56250</v>
      </c>
      <c r="O36" s="82">
        <f t="shared" si="10"/>
        <v>41250</v>
      </c>
      <c r="P36" s="82">
        <f t="shared" si="10"/>
        <v>71250</v>
      </c>
      <c r="Q36" s="82">
        <f t="shared" si="10"/>
        <v>907671.48</v>
      </c>
      <c r="R36" s="82">
        <f t="shared" si="10"/>
        <v>56250</v>
      </c>
      <c r="S36" s="82">
        <f t="shared" si="10"/>
        <v>56250</v>
      </c>
      <c r="T36" s="82">
        <f t="shared" si="10"/>
        <v>2568635.6800000002</v>
      </c>
      <c r="U36" s="82">
        <f t="shared" si="10"/>
        <v>56250</v>
      </c>
      <c r="V36" s="82">
        <f t="shared" si="10"/>
        <v>4038807.16</v>
      </c>
      <c r="W36" s="82">
        <f t="shared" si="10"/>
        <v>-2297807.16</v>
      </c>
      <c r="X36" s="73"/>
    </row>
    <row r="37" spans="1:24" s="74" customFormat="1" ht="13.5" hidden="1" thickBot="1" x14ac:dyDescent="0.25">
      <c r="A37" s="66">
        <v>21</v>
      </c>
      <c r="B37" s="67">
        <v>4</v>
      </c>
      <c r="C37" s="84">
        <v>2</v>
      </c>
      <c r="D37" s="85">
        <v>1</v>
      </c>
      <c r="E37" s="85">
        <v>2</v>
      </c>
      <c r="F37" s="85">
        <v>2</v>
      </c>
      <c r="G37" s="86" t="s">
        <v>154</v>
      </c>
      <c r="H37" s="98" t="s">
        <v>175</v>
      </c>
      <c r="I37" s="88">
        <v>0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>
        <f t="shared" ref="V37:V43" si="11">SUM(J37:U37)</f>
        <v>0</v>
      </c>
      <c r="W37" s="88">
        <f t="shared" ref="W37:W42" si="12">I37-V37</f>
        <v>0</v>
      </c>
      <c r="X37" s="73"/>
    </row>
    <row r="38" spans="1:24" s="74" customFormat="1" ht="13.5" hidden="1" thickBot="1" x14ac:dyDescent="0.25">
      <c r="A38" s="66">
        <v>21</v>
      </c>
      <c r="B38" s="67">
        <v>4</v>
      </c>
      <c r="C38" s="84">
        <v>2</v>
      </c>
      <c r="D38" s="85">
        <v>1</v>
      </c>
      <c r="E38" s="85">
        <v>2</v>
      </c>
      <c r="F38" s="85">
        <v>2</v>
      </c>
      <c r="G38" s="86" t="s">
        <v>162</v>
      </c>
      <c r="H38" s="98" t="s">
        <v>176</v>
      </c>
      <c r="I38" s="88">
        <v>0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>
        <f t="shared" si="11"/>
        <v>0</v>
      </c>
      <c r="W38" s="88">
        <f t="shared" si="12"/>
        <v>0</v>
      </c>
      <c r="X38" s="73"/>
    </row>
    <row r="39" spans="1:24" s="74" customFormat="1" ht="13.5" hidden="1" thickBot="1" x14ac:dyDescent="0.25">
      <c r="A39" s="66">
        <v>21</v>
      </c>
      <c r="B39" s="67">
        <v>4</v>
      </c>
      <c r="C39" s="84">
        <v>2</v>
      </c>
      <c r="D39" s="85">
        <v>1</v>
      </c>
      <c r="E39" s="85">
        <v>2</v>
      </c>
      <c r="F39" s="85">
        <v>2</v>
      </c>
      <c r="G39" s="86" t="s">
        <v>164</v>
      </c>
      <c r="H39" s="98" t="s">
        <v>177</v>
      </c>
      <c r="I39" s="88">
        <v>675000</v>
      </c>
      <c r="J39" s="88">
        <v>56250</v>
      </c>
      <c r="K39" s="88">
        <v>56250</v>
      </c>
      <c r="L39" s="88">
        <v>56250</v>
      </c>
      <c r="M39" s="88">
        <v>56250</v>
      </c>
      <c r="N39" s="88">
        <v>56250</v>
      </c>
      <c r="O39" s="88">
        <v>41250</v>
      </c>
      <c r="P39" s="88">
        <v>71250</v>
      </c>
      <c r="Q39" s="88">
        <v>56250</v>
      </c>
      <c r="R39" s="88">
        <v>56250</v>
      </c>
      <c r="S39" s="88">
        <v>56250</v>
      </c>
      <c r="T39" s="88">
        <v>56250</v>
      </c>
      <c r="U39" s="88">
        <v>56250</v>
      </c>
      <c r="V39" s="88">
        <f t="shared" si="11"/>
        <v>675000</v>
      </c>
      <c r="W39" s="88">
        <f t="shared" si="12"/>
        <v>0</v>
      </c>
      <c r="X39" s="73"/>
    </row>
    <row r="40" spans="1:24" s="74" customFormat="1" ht="13.5" hidden="1" thickBot="1" x14ac:dyDescent="0.25">
      <c r="A40" s="66">
        <v>21</v>
      </c>
      <c r="B40" s="67">
        <v>4</v>
      </c>
      <c r="C40" s="84">
        <v>2</v>
      </c>
      <c r="D40" s="85">
        <v>1</v>
      </c>
      <c r="E40" s="85">
        <v>2</v>
      </c>
      <c r="F40" s="85">
        <v>2</v>
      </c>
      <c r="G40" s="86" t="s">
        <v>178</v>
      </c>
      <c r="H40" s="98" t="s">
        <v>179</v>
      </c>
      <c r="I40" s="88">
        <v>-389279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>
        <f t="shared" si="11"/>
        <v>0</v>
      </c>
      <c r="W40" s="88">
        <f t="shared" si="12"/>
        <v>-389279</v>
      </c>
      <c r="X40" s="73"/>
    </row>
    <row r="41" spans="1:24" s="74" customFormat="1" ht="13.5" hidden="1" thickBot="1" x14ac:dyDescent="0.25">
      <c r="A41" s="66">
        <v>21</v>
      </c>
      <c r="B41" s="67">
        <v>4</v>
      </c>
      <c r="C41" s="84">
        <v>2</v>
      </c>
      <c r="D41" s="85">
        <v>1</v>
      </c>
      <c r="E41" s="85">
        <v>2</v>
      </c>
      <c r="F41" s="85">
        <v>2</v>
      </c>
      <c r="G41" s="86" t="s">
        <v>180</v>
      </c>
      <c r="H41" s="98" t="s">
        <v>181</v>
      </c>
      <c r="I41" s="88">
        <v>1319279</v>
      </c>
      <c r="J41" s="88"/>
      <c r="K41" s="88"/>
      <c r="L41" s="88"/>
      <c r="M41" s="88"/>
      <c r="N41" s="88"/>
      <c r="O41" s="88"/>
      <c r="P41" s="88">
        <v>0</v>
      </c>
      <c r="Q41" s="88">
        <v>851421.48</v>
      </c>
      <c r="R41" s="88"/>
      <c r="S41" s="88"/>
      <c r="T41" s="88"/>
      <c r="U41" s="88"/>
      <c r="V41" s="88">
        <f t="shared" si="11"/>
        <v>851421.48</v>
      </c>
      <c r="W41" s="88">
        <f t="shared" si="12"/>
        <v>467857.52</v>
      </c>
      <c r="X41" s="73"/>
    </row>
    <row r="42" spans="1:24" s="74" customFormat="1" ht="13.5" hidden="1" thickBot="1" x14ac:dyDescent="0.25">
      <c r="A42" s="66">
        <v>21</v>
      </c>
      <c r="B42" s="67">
        <v>4</v>
      </c>
      <c r="C42" s="84">
        <v>2</v>
      </c>
      <c r="D42" s="85">
        <v>1</v>
      </c>
      <c r="E42" s="85">
        <v>2</v>
      </c>
      <c r="F42" s="85">
        <v>2</v>
      </c>
      <c r="G42" s="86" t="s">
        <v>166</v>
      </c>
      <c r="H42" s="98" t="s">
        <v>182</v>
      </c>
      <c r="I42" s="88">
        <v>136000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>
        <f>2217719.91+45000+166300.77+83365</f>
        <v>2512385.6800000002</v>
      </c>
      <c r="U42" s="88"/>
      <c r="V42" s="88">
        <f t="shared" si="11"/>
        <v>2512385.6800000002</v>
      </c>
      <c r="W42" s="88">
        <f t="shared" si="12"/>
        <v>-2376385.6800000002</v>
      </c>
      <c r="X42" s="73"/>
    </row>
    <row r="43" spans="1:24" s="74" customFormat="1" ht="13.5" hidden="1" thickBot="1" x14ac:dyDescent="0.25">
      <c r="A43" s="6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88">
        <f t="shared" si="11"/>
        <v>0</v>
      </c>
      <c r="W43" s="75"/>
      <c r="X43" s="73"/>
    </row>
    <row r="44" spans="1:24" s="74" customFormat="1" ht="13.5" hidden="1" thickBot="1" x14ac:dyDescent="0.25">
      <c r="A44" s="66">
        <v>21</v>
      </c>
      <c r="B44" s="67">
        <v>2</v>
      </c>
      <c r="C44" s="78">
        <v>2</v>
      </c>
      <c r="D44" s="79">
        <v>1</v>
      </c>
      <c r="E44" s="79">
        <v>3</v>
      </c>
      <c r="F44" s="79"/>
      <c r="G44" s="100"/>
      <c r="H44" s="81" t="s">
        <v>183</v>
      </c>
      <c r="I44" s="82">
        <f t="shared" ref="I44:W44" si="13">+I45+I48</f>
        <v>367000</v>
      </c>
      <c r="J44" s="82">
        <f t="shared" si="13"/>
        <v>0</v>
      </c>
      <c r="K44" s="82">
        <f t="shared" si="13"/>
        <v>31650</v>
      </c>
      <c r="L44" s="82">
        <f t="shared" si="13"/>
        <v>63300</v>
      </c>
      <c r="M44" s="82">
        <f t="shared" si="13"/>
        <v>31650</v>
      </c>
      <c r="N44" s="82">
        <f t="shared" si="13"/>
        <v>0</v>
      </c>
      <c r="O44" s="82">
        <f t="shared" si="13"/>
        <v>0</v>
      </c>
      <c r="P44" s="82">
        <f t="shared" si="13"/>
        <v>0</v>
      </c>
      <c r="Q44" s="82">
        <f t="shared" si="13"/>
        <v>0</v>
      </c>
      <c r="R44" s="82">
        <f t="shared" si="13"/>
        <v>0</v>
      </c>
      <c r="S44" s="82">
        <f t="shared" si="13"/>
        <v>0</v>
      </c>
      <c r="T44" s="82">
        <f t="shared" si="13"/>
        <v>0</v>
      </c>
      <c r="U44" s="82">
        <v>3327.3</v>
      </c>
      <c r="V44" s="82">
        <f t="shared" si="13"/>
        <v>129927.3</v>
      </c>
      <c r="W44" s="82">
        <f t="shared" si="13"/>
        <v>237072.7</v>
      </c>
      <c r="X44" s="73"/>
    </row>
    <row r="45" spans="1:24" s="83" customFormat="1" ht="13.5" hidden="1" thickBot="1" x14ac:dyDescent="0.25">
      <c r="A45" s="66">
        <v>21</v>
      </c>
      <c r="B45" s="67">
        <v>3</v>
      </c>
      <c r="C45" s="78">
        <v>2</v>
      </c>
      <c r="D45" s="79">
        <v>1</v>
      </c>
      <c r="E45" s="79">
        <v>3</v>
      </c>
      <c r="F45" s="79">
        <v>1</v>
      </c>
      <c r="G45" s="80"/>
      <c r="H45" s="81" t="s">
        <v>184</v>
      </c>
      <c r="I45" s="82">
        <f t="shared" ref="I45:W45" si="14">SUM(I46:I47)</f>
        <v>2000</v>
      </c>
      <c r="J45" s="82">
        <f t="shared" si="14"/>
        <v>0</v>
      </c>
      <c r="K45" s="82">
        <f t="shared" si="14"/>
        <v>0</v>
      </c>
      <c r="L45" s="82">
        <f t="shared" si="14"/>
        <v>0</v>
      </c>
      <c r="M45" s="82">
        <f t="shared" si="14"/>
        <v>0</v>
      </c>
      <c r="N45" s="82">
        <f t="shared" si="14"/>
        <v>0</v>
      </c>
      <c r="O45" s="82">
        <f t="shared" si="14"/>
        <v>0</v>
      </c>
      <c r="P45" s="82">
        <f t="shared" si="14"/>
        <v>0</v>
      </c>
      <c r="Q45" s="82">
        <f t="shared" si="14"/>
        <v>0</v>
      </c>
      <c r="R45" s="82">
        <f t="shared" si="14"/>
        <v>0</v>
      </c>
      <c r="S45" s="82">
        <f t="shared" si="14"/>
        <v>0</v>
      </c>
      <c r="T45" s="82">
        <f t="shared" si="14"/>
        <v>0</v>
      </c>
      <c r="U45" s="82">
        <v>0</v>
      </c>
      <c r="V45" s="82">
        <f t="shared" si="14"/>
        <v>0</v>
      </c>
      <c r="W45" s="82">
        <f t="shared" si="14"/>
        <v>2000</v>
      </c>
      <c r="X45" s="73"/>
    </row>
    <row r="46" spans="1:24" s="74" customFormat="1" ht="13.5" hidden="1" thickBot="1" x14ac:dyDescent="0.25">
      <c r="A46" s="66">
        <v>21</v>
      </c>
      <c r="B46" s="67">
        <v>4</v>
      </c>
      <c r="C46" s="84">
        <v>2</v>
      </c>
      <c r="D46" s="85">
        <v>1</v>
      </c>
      <c r="E46" s="85">
        <v>3</v>
      </c>
      <c r="F46" s="85">
        <v>1</v>
      </c>
      <c r="G46" s="86" t="s">
        <v>154</v>
      </c>
      <c r="H46" s="98" t="s">
        <v>185</v>
      </c>
      <c r="I46" s="88">
        <v>1000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>
        <f>SUM(J46:U46)</f>
        <v>0</v>
      </c>
      <c r="W46" s="88">
        <f>I46-V46</f>
        <v>1000</v>
      </c>
      <c r="X46" s="73"/>
    </row>
    <row r="47" spans="1:24" s="74" customFormat="1" ht="13.5" hidden="1" thickBot="1" x14ac:dyDescent="0.25">
      <c r="A47" s="66">
        <v>21</v>
      </c>
      <c r="B47" s="67">
        <v>4</v>
      </c>
      <c r="C47" s="84">
        <v>2</v>
      </c>
      <c r="D47" s="85">
        <v>1</v>
      </c>
      <c r="E47" s="85">
        <v>3</v>
      </c>
      <c r="F47" s="85">
        <v>1</v>
      </c>
      <c r="G47" s="86" t="s">
        <v>158</v>
      </c>
      <c r="H47" s="98" t="s">
        <v>186</v>
      </c>
      <c r="I47" s="88">
        <v>1000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>
        <f>SUM(J47:U47)</f>
        <v>0</v>
      </c>
      <c r="W47" s="88">
        <f>I47-V47</f>
        <v>1000</v>
      </c>
      <c r="X47" s="73"/>
    </row>
    <row r="48" spans="1:24" s="83" customFormat="1" ht="13.5" hidden="1" thickBot="1" x14ac:dyDescent="0.25">
      <c r="A48" s="66">
        <v>21</v>
      </c>
      <c r="B48" s="67">
        <v>3</v>
      </c>
      <c r="C48" s="78">
        <v>2</v>
      </c>
      <c r="D48" s="79">
        <v>1</v>
      </c>
      <c r="E48" s="79">
        <v>3</v>
      </c>
      <c r="F48" s="79">
        <v>2</v>
      </c>
      <c r="G48" s="80"/>
      <c r="H48" s="81" t="s">
        <v>187</v>
      </c>
      <c r="I48" s="82">
        <f t="shared" ref="I48:W48" si="15">I49</f>
        <v>365000</v>
      </c>
      <c r="J48" s="82">
        <f t="shared" si="15"/>
        <v>0</v>
      </c>
      <c r="K48" s="82">
        <f t="shared" si="15"/>
        <v>31650</v>
      </c>
      <c r="L48" s="82">
        <f t="shared" si="15"/>
        <v>63300</v>
      </c>
      <c r="M48" s="82">
        <f t="shared" si="15"/>
        <v>31650</v>
      </c>
      <c r="N48" s="82">
        <f t="shared" si="15"/>
        <v>0</v>
      </c>
      <c r="O48" s="82">
        <f t="shared" si="15"/>
        <v>0</v>
      </c>
      <c r="P48" s="82">
        <f t="shared" si="15"/>
        <v>0</v>
      </c>
      <c r="Q48" s="82">
        <f t="shared" si="15"/>
        <v>0</v>
      </c>
      <c r="R48" s="82">
        <f t="shared" si="15"/>
        <v>0</v>
      </c>
      <c r="S48" s="82">
        <f t="shared" si="15"/>
        <v>0</v>
      </c>
      <c r="T48" s="82">
        <f t="shared" si="15"/>
        <v>0</v>
      </c>
      <c r="U48" s="82">
        <v>3327.3</v>
      </c>
      <c r="V48" s="82">
        <f t="shared" si="15"/>
        <v>129927.3</v>
      </c>
      <c r="W48" s="82">
        <f t="shared" si="15"/>
        <v>235072.7</v>
      </c>
      <c r="X48" s="73"/>
    </row>
    <row r="49" spans="1:24 16305:16325" s="74" customFormat="1" ht="13.5" hidden="1" thickBot="1" x14ac:dyDescent="0.25">
      <c r="A49" s="66">
        <v>21</v>
      </c>
      <c r="B49" s="67">
        <v>4</v>
      </c>
      <c r="C49" s="84">
        <v>2</v>
      </c>
      <c r="D49" s="85">
        <v>1</v>
      </c>
      <c r="E49" s="85">
        <v>3</v>
      </c>
      <c r="F49" s="85">
        <v>2</v>
      </c>
      <c r="G49" s="86" t="s">
        <v>154</v>
      </c>
      <c r="H49" s="98" t="s">
        <v>188</v>
      </c>
      <c r="I49" s="88">
        <v>365000</v>
      </c>
      <c r="J49" s="88"/>
      <c r="K49" s="88">
        <v>31650</v>
      </c>
      <c r="L49" s="88">
        <v>63300</v>
      </c>
      <c r="M49" s="88">
        <v>31650</v>
      </c>
      <c r="N49" s="88"/>
      <c r="O49" s="88"/>
      <c r="P49" s="88"/>
      <c r="Q49" s="88"/>
      <c r="R49" s="88"/>
      <c r="S49" s="88"/>
      <c r="T49" s="88"/>
      <c r="U49" s="88">
        <v>3327.3</v>
      </c>
      <c r="V49" s="88">
        <f>SUM(J49:U49)</f>
        <v>129927.3</v>
      </c>
      <c r="W49" s="88">
        <f>I49-V49</f>
        <v>235072.7</v>
      </c>
      <c r="X49" s="73"/>
    </row>
    <row r="50" spans="1:24 16305:16325" s="74" customFormat="1" ht="13.5" hidden="1" thickBot="1" x14ac:dyDescent="0.25">
      <c r="A50" s="6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3"/>
    </row>
    <row r="51" spans="1:24 16305:16325" s="74" customFormat="1" ht="13.5" hidden="1" thickBot="1" x14ac:dyDescent="0.25">
      <c r="A51" s="66">
        <v>21</v>
      </c>
      <c r="B51" s="67">
        <v>2</v>
      </c>
      <c r="C51" s="78">
        <v>2</v>
      </c>
      <c r="D51" s="79">
        <v>1</v>
      </c>
      <c r="E51" s="79">
        <v>4</v>
      </c>
      <c r="F51" s="79"/>
      <c r="G51" s="100"/>
      <c r="H51" s="81" t="s">
        <v>189</v>
      </c>
      <c r="I51" s="101">
        <f t="shared" ref="I51:W51" si="16">+I52+I53</f>
        <v>0</v>
      </c>
      <c r="J51" s="101">
        <f t="shared" si="16"/>
        <v>0</v>
      </c>
      <c r="K51" s="101">
        <f t="shared" si="16"/>
        <v>0</v>
      </c>
      <c r="L51" s="101">
        <f t="shared" si="16"/>
        <v>0</v>
      </c>
      <c r="M51" s="101">
        <f t="shared" si="16"/>
        <v>0</v>
      </c>
      <c r="N51" s="101">
        <f t="shared" si="16"/>
        <v>0</v>
      </c>
      <c r="O51" s="101">
        <f t="shared" si="16"/>
        <v>0</v>
      </c>
      <c r="P51" s="101">
        <f t="shared" si="16"/>
        <v>0</v>
      </c>
      <c r="Q51" s="101">
        <f t="shared" si="16"/>
        <v>0</v>
      </c>
      <c r="R51" s="101">
        <f t="shared" si="16"/>
        <v>0</v>
      </c>
      <c r="S51" s="101">
        <f t="shared" si="16"/>
        <v>0</v>
      </c>
      <c r="T51" s="101">
        <f t="shared" si="16"/>
        <v>0</v>
      </c>
      <c r="U51" s="101">
        <v>0</v>
      </c>
      <c r="V51" s="101">
        <f t="shared" si="16"/>
        <v>0</v>
      </c>
      <c r="W51" s="101">
        <f t="shared" si="16"/>
        <v>0</v>
      </c>
      <c r="X51" s="73"/>
    </row>
    <row r="52" spans="1:24 16305:16325" s="83" customFormat="1" ht="13.5" hidden="1" thickBot="1" x14ac:dyDescent="0.25">
      <c r="A52" s="66">
        <v>21</v>
      </c>
      <c r="B52" s="67">
        <v>3</v>
      </c>
      <c r="C52" s="90">
        <v>2</v>
      </c>
      <c r="D52" s="91">
        <v>1</v>
      </c>
      <c r="E52" s="91">
        <v>4</v>
      </c>
      <c r="F52" s="91">
        <v>1</v>
      </c>
      <c r="G52" s="102"/>
      <c r="H52" s="93" t="s">
        <v>190</v>
      </c>
      <c r="I52" s="103">
        <v>0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88">
        <f>SUM(J52:U52)</f>
        <v>0</v>
      </c>
      <c r="W52" s="88">
        <f>I52-V52</f>
        <v>0</v>
      </c>
      <c r="X52" s="73"/>
    </row>
    <row r="53" spans="1:24 16305:16325" s="83" customFormat="1" ht="13.5" hidden="1" thickBot="1" x14ac:dyDescent="0.25">
      <c r="A53" s="66">
        <v>21</v>
      </c>
      <c r="B53" s="67">
        <v>3</v>
      </c>
      <c r="C53" s="78">
        <v>2</v>
      </c>
      <c r="D53" s="79">
        <v>1</v>
      </c>
      <c r="E53" s="79">
        <v>4</v>
      </c>
      <c r="F53" s="79">
        <v>2</v>
      </c>
      <c r="G53" s="80"/>
      <c r="H53" s="81" t="s">
        <v>191</v>
      </c>
      <c r="I53" s="82">
        <f t="shared" ref="I53:W53" si="17">I54</f>
        <v>0</v>
      </c>
      <c r="J53" s="82">
        <f t="shared" si="17"/>
        <v>0</v>
      </c>
      <c r="K53" s="82">
        <f t="shared" si="17"/>
        <v>0</v>
      </c>
      <c r="L53" s="82">
        <f t="shared" si="17"/>
        <v>0</v>
      </c>
      <c r="M53" s="82">
        <f t="shared" si="17"/>
        <v>0</v>
      </c>
      <c r="N53" s="82">
        <f t="shared" si="17"/>
        <v>0</v>
      </c>
      <c r="O53" s="82">
        <f t="shared" si="17"/>
        <v>0</v>
      </c>
      <c r="P53" s="82">
        <f t="shared" si="17"/>
        <v>0</v>
      </c>
      <c r="Q53" s="82">
        <f t="shared" si="17"/>
        <v>0</v>
      </c>
      <c r="R53" s="82">
        <f t="shared" si="17"/>
        <v>0</v>
      </c>
      <c r="S53" s="82">
        <f t="shared" si="17"/>
        <v>0</v>
      </c>
      <c r="T53" s="82">
        <f t="shared" si="17"/>
        <v>0</v>
      </c>
      <c r="U53" s="82">
        <v>0</v>
      </c>
      <c r="V53" s="82">
        <f t="shared" si="17"/>
        <v>0</v>
      </c>
      <c r="W53" s="82">
        <f t="shared" si="17"/>
        <v>0</v>
      </c>
      <c r="X53" s="73"/>
    </row>
    <row r="54" spans="1:24 16305:16325" s="74" customFormat="1" ht="13.5" hidden="1" thickBot="1" x14ac:dyDescent="0.25">
      <c r="A54" s="66">
        <v>21</v>
      </c>
      <c r="B54" s="67">
        <v>4</v>
      </c>
      <c r="C54" s="84">
        <v>2</v>
      </c>
      <c r="D54" s="85">
        <v>1</v>
      </c>
      <c r="E54" s="85">
        <v>4</v>
      </c>
      <c r="F54" s="85">
        <v>2</v>
      </c>
      <c r="G54" s="86" t="s">
        <v>154</v>
      </c>
      <c r="H54" s="98" t="s">
        <v>192</v>
      </c>
      <c r="I54" s="88">
        <v>0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>
        <f>SUM(J54:U54)</f>
        <v>0</v>
      </c>
      <c r="W54" s="88">
        <f>I54-V54</f>
        <v>0</v>
      </c>
      <c r="X54" s="73"/>
    </row>
    <row r="55" spans="1:24 16305:16325" s="74" customFormat="1" ht="13.5" hidden="1" thickBot="1" x14ac:dyDescent="0.25">
      <c r="A55" s="6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3"/>
    </row>
    <row r="56" spans="1:24 16305:16325" s="83" customFormat="1" ht="13.5" hidden="1" thickBot="1" x14ac:dyDescent="0.25">
      <c r="A56" s="76">
        <v>21</v>
      </c>
      <c r="B56" s="77">
        <v>2</v>
      </c>
      <c r="C56" s="78">
        <v>2</v>
      </c>
      <c r="D56" s="79">
        <v>1</v>
      </c>
      <c r="E56" s="79">
        <v>5</v>
      </c>
      <c r="F56" s="79"/>
      <c r="G56" s="80"/>
      <c r="H56" s="81" t="s">
        <v>193</v>
      </c>
      <c r="I56" s="82">
        <f t="shared" ref="I56:W56" si="18">SUM(I57:I59)</f>
        <v>5157028</v>
      </c>
      <c r="J56" s="82">
        <f t="shared" si="18"/>
        <v>405234.05</v>
      </c>
      <c r="K56" s="82">
        <f t="shared" si="18"/>
        <v>405234.05</v>
      </c>
      <c r="L56" s="82">
        <f t="shared" si="18"/>
        <v>405234.05</v>
      </c>
      <c r="M56" s="82">
        <f t="shared" si="18"/>
        <v>401678.96</v>
      </c>
      <c r="N56" s="82">
        <f t="shared" si="18"/>
        <v>395846.54000000004</v>
      </c>
      <c r="O56" s="82">
        <f t="shared" si="18"/>
        <v>380272.05</v>
      </c>
      <c r="P56" s="168">
        <f t="shared" si="18"/>
        <v>364446.55</v>
      </c>
      <c r="Q56" s="82">
        <f t="shared" si="18"/>
        <v>365718.98</v>
      </c>
      <c r="R56" s="82">
        <f t="shared" si="18"/>
        <v>372891.61000000004</v>
      </c>
      <c r="S56" s="82">
        <f t="shared" si="18"/>
        <v>380546.08</v>
      </c>
      <c r="T56" s="82">
        <f t="shared" si="18"/>
        <v>401350.14</v>
      </c>
      <c r="U56" s="82">
        <v>370083.15</v>
      </c>
      <c r="V56" s="82">
        <f t="shared" si="18"/>
        <v>4648536.209999999</v>
      </c>
      <c r="W56" s="82">
        <f t="shared" si="18"/>
        <v>508491.79000000079</v>
      </c>
      <c r="X56" s="73"/>
      <c r="XCC56" s="76"/>
      <c r="XCD56" s="77"/>
      <c r="XCE56" s="78"/>
      <c r="XCF56" s="79"/>
      <c r="XCG56" s="79"/>
      <c r="XCH56" s="79"/>
      <c r="XCI56" s="80"/>
      <c r="XCJ56" s="81"/>
      <c r="XCK56" s="82"/>
      <c r="XCL56" s="104"/>
      <c r="XCM56" s="104"/>
      <c r="XCN56" s="104"/>
      <c r="XCO56" s="104"/>
      <c r="XCP56" s="105"/>
      <c r="XCQ56" s="106"/>
      <c r="XCR56" s="82"/>
      <c r="XCS56" s="104"/>
      <c r="XCT56" s="104"/>
      <c r="XCU56" s="104"/>
      <c r="XCV56" s="104"/>
      <c r="XCW56" s="105"/>
    </row>
    <row r="57" spans="1:24 16305:16325" s="83" customFormat="1" ht="13.5" hidden="1" thickBot="1" x14ac:dyDescent="0.25">
      <c r="A57" s="66">
        <v>21</v>
      </c>
      <c r="B57" s="67">
        <v>3</v>
      </c>
      <c r="C57" s="90">
        <v>2</v>
      </c>
      <c r="D57" s="91">
        <v>1</v>
      </c>
      <c r="E57" s="91">
        <v>5</v>
      </c>
      <c r="F57" s="91">
        <v>1</v>
      </c>
      <c r="G57" s="92"/>
      <c r="H57" s="93" t="s">
        <v>194</v>
      </c>
      <c r="I57" s="88">
        <v>2397812</v>
      </c>
      <c r="J57" s="88">
        <v>191025.30000000002</v>
      </c>
      <c r="K57" s="88">
        <v>191025.30000000002</v>
      </c>
      <c r="L57" s="88">
        <v>191025.30000000002</v>
      </c>
      <c r="M57" s="88">
        <v>189387.51</v>
      </c>
      <c r="N57" s="88">
        <v>186551.51</v>
      </c>
      <c r="O57" s="88">
        <v>178226</v>
      </c>
      <c r="P57" s="88">
        <v>169613.44</v>
      </c>
      <c r="Q57" s="88">
        <v>171115</v>
      </c>
      <c r="R57" s="88">
        <v>173445.4</v>
      </c>
      <c r="S57" s="88">
        <v>178098.48</v>
      </c>
      <c r="T57" s="88">
        <f>160847.36+3190.5+18788.5+5910.58</f>
        <v>188736.93999999997</v>
      </c>
      <c r="U57" s="88">
        <v>174330.12999999998</v>
      </c>
      <c r="V57" s="88">
        <f>SUM(J57:U57)</f>
        <v>2182580.3099999996</v>
      </c>
      <c r="W57" s="88">
        <f>I57-V57</f>
        <v>215231.69000000041</v>
      </c>
      <c r="X57" s="73"/>
    </row>
    <row r="58" spans="1:24 16305:16325" s="83" customFormat="1" ht="13.5" hidden="1" thickBot="1" x14ac:dyDescent="0.25">
      <c r="A58" s="66">
        <v>21</v>
      </c>
      <c r="B58" s="67">
        <v>3</v>
      </c>
      <c r="C58" s="90">
        <v>2</v>
      </c>
      <c r="D58" s="91">
        <v>1</v>
      </c>
      <c r="E58" s="91">
        <v>5</v>
      </c>
      <c r="F58" s="91">
        <v>2</v>
      </c>
      <c r="G58" s="92"/>
      <c r="H58" s="93" t="s">
        <v>195</v>
      </c>
      <c r="I58" s="88">
        <v>2468329</v>
      </c>
      <c r="J58" s="88">
        <v>196703.55</v>
      </c>
      <c r="K58" s="88">
        <v>196703.55</v>
      </c>
      <c r="L58" s="88">
        <v>196703.55</v>
      </c>
      <c r="M58" s="88">
        <v>195063.45</v>
      </c>
      <c r="N58" s="88">
        <v>192223.45</v>
      </c>
      <c r="O58" s="88">
        <v>185945.19</v>
      </c>
      <c r="P58" s="88">
        <v>179379.38</v>
      </c>
      <c r="Q58" s="88">
        <v>177320.38</v>
      </c>
      <c r="R58" s="88">
        <v>182097.13</v>
      </c>
      <c r="S58" s="88">
        <v>184313.72</v>
      </c>
      <c r="T58" s="88">
        <f>167038.27+3195+18815+5918.92</f>
        <v>194967.19</v>
      </c>
      <c r="U58" s="88">
        <v>178797.02000000002</v>
      </c>
      <c r="V58" s="88">
        <f>SUM(J58:U58)</f>
        <v>2260217.5599999996</v>
      </c>
      <c r="W58" s="88">
        <f>I58-V58</f>
        <v>208111.44000000041</v>
      </c>
      <c r="X58" s="73"/>
    </row>
    <row r="59" spans="1:24 16305:16325" s="83" customFormat="1" ht="13.5" hidden="1" thickBot="1" x14ac:dyDescent="0.25">
      <c r="A59" s="66">
        <v>21</v>
      </c>
      <c r="B59" s="67">
        <v>3</v>
      </c>
      <c r="C59" s="90">
        <v>2</v>
      </c>
      <c r="D59" s="91">
        <v>1</v>
      </c>
      <c r="E59" s="91">
        <v>5</v>
      </c>
      <c r="F59" s="91">
        <v>3</v>
      </c>
      <c r="G59" s="92"/>
      <c r="H59" s="93" t="s">
        <v>196</v>
      </c>
      <c r="I59" s="88">
        <v>290887</v>
      </c>
      <c r="J59" s="88">
        <v>17505.2</v>
      </c>
      <c r="K59" s="88">
        <v>17505.2</v>
      </c>
      <c r="L59" s="88">
        <v>17505.2</v>
      </c>
      <c r="M59" s="88">
        <v>17228</v>
      </c>
      <c r="N59" s="88">
        <v>17071.580000000002</v>
      </c>
      <c r="O59" s="88">
        <v>16100.86</v>
      </c>
      <c r="P59" s="88">
        <v>15453.73</v>
      </c>
      <c r="Q59" s="99">
        <v>17283.599999999999</v>
      </c>
      <c r="R59" s="88">
        <v>17349.080000000002</v>
      </c>
      <c r="S59" s="88">
        <v>18133.88</v>
      </c>
      <c r="T59" s="88">
        <f>15070.81+540+1286.4+748.8</f>
        <v>17646.009999999998</v>
      </c>
      <c r="U59" s="88">
        <v>16956</v>
      </c>
      <c r="V59" s="88">
        <f>SUM(J59:U59)</f>
        <v>205738.34000000003</v>
      </c>
      <c r="W59" s="88">
        <f>I59-V59</f>
        <v>85148.659999999974</v>
      </c>
      <c r="X59" s="73"/>
    </row>
    <row r="60" spans="1:24 16305:16325" s="74" customFormat="1" ht="13.5" hidden="1" thickBot="1" x14ac:dyDescent="0.25">
      <c r="A60" s="66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3"/>
    </row>
    <row r="61" spans="1:24 16305:16325" s="74" customFormat="1" ht="13.5" thickBot="1" x14ac:dyDescent="0.25">
      <c r="A61" s="66">
        <v>22</v>
      </c>
      <c r="B61" s="67">
        <v>1</v>
      </c>
      <c r="C61" s="68">
        <v>2</v>
      </c>
      <c r="D61" s="69">
        <v>2</v>
      </c>
      <c r="E61" s="69"/>
      <c r="F61" s="69"/>
      <c r="G61" s="70"/>
      <c r="H61" s="71" t="s">
        <v>197</v>
      </c>
      <c r="I61" s="72">
        <v>11860072</v>
      </c>
      <c r="J61" s="72">
        <f t="shared" ref="J61:W61" si="19">J63+J73+J77+J81+J85+J91+J97+J110+J130</f>
        <v>387287.54</v>
      </c>
      <c r="K61" s="72">
        <f t="shared" si="19"/>
        <v>452480.33999999997</v>
      </c>
      <c r="L61" s="72">
        <f t="shared" si="19"/>
        <v>537563.05000000005</v>
      </c>
      <c r="M61" s="72">
        <f t="shared" si="19"/>
        <v>385264.6</v>
      </c>
      <c r="N61" s="72">
        <f t="shared" si="19"/>
        <v>445524.89999999997</v>
      </c>
      <c r="O61" s="72">
        <f t="shared" si="19"/>
        <v>493778.05</v>
      </c>
      <c r="P61" s="72">
        <f t="shared" si="19"/>
        <v>563401.32999999996</v>
      </c>
      <c r="Q61" s="72">
        <f t="shared" si="19"/>
        <v>470945.36999999994</v>
      </c>
      <c r="R61" s="72">
        <f t="shared" si="19"/>
        <v>348624.2</v>
      </c>
      <c r="S61" s="72">
        <f t="shared" si="19"/>
        <v>497174.52</v>
      </c>
      <c r="T61" s="72">
        <f t="shared" si="19"/>
        <v>1022400.9099999999</v>
      </c>
      <c r="U61" s="72">
        <f t="shared" si="19"/>
        <v>940033.93</v>
      </c>
      <c r="V61" s="72">
        <f t="shared" si="19"/>
        <v>6544478.7400000002</v>
      </c>
      <c r="W61" s="72">
        <f t="shared" si="19"/>
        <v>5315593.26</v>
      </c>
      <c r="X61" s="73"/>
    </row>
    <row r="62" spans="1:24 16305:16325" s="74" customFormat="1" ht="13.5" hidden="1" thickBot="1" x14ac:dyDescent="0.25">
      <c r="A62" s="6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3"/>
    </row>
    <row r="63" spans="1:24 16305:16325" s="74" customFormat="1" ht="13.5" hidden="1" thickBot="1" x14ac:dyDescent="0.25">
      <c r="A63" s="66">
        <v>22</v>
      </c>
      <c r="B63" s="67">
        <v>2</v>
      </c>
      <c r="C63" s="78">
        <v>2</v>
      </c>
      <c r="D63" s="79">
        <v>2</v>
      </c>
      <c r="E63" s="79">
        <v>1</v>
      </c>
      <c r="F63" s="107"/>
      <c r="G63" s="108"/>
      <c r="H63" s="81" t="s">
        <v>198</v>
      </c>
      <c r="I63" s="82">
        <f t="shared" ref="I63:W63" si="20">+I64+I65+I66+I67+I68+I70+I71</f>
        <v>2117350</v>
      </c>
      <c r="J63" s="82">
        <f t="shared" si="20"/>
        <v>139913.35999999999</v>
      </c>
      <c r="K63" s="82">
        <f t="shared" si="20"/>
        <v>127226.84</v>
      </c>
      <c r="L63" s="82">
        <f t="shared" si="20"/>
        <v>122680.05</v>
      </c>
      <c r="M63" s="82">
        <f t="shared" si="20"/>
        <v>120850.13999999998</v>
      </c>
      <c r="N63" s="82">
        <f t="shared" si="20"/>
        <v>103997.79</v>
      </c>
      <c r="O63" s="82">
        <f t="shared" si="20"/>
        <v>141075.01</v>
      </c>
      <c r="P63" s="82">
        <f t="shared" si="20"/>
        <v>148732.18</v>
      </c>
      <c r="Q63" s="82">
        <f t="shared" si="20"/>
        <v>126293.50999999998</v>
      </c>
      <c r="R63" s="82">
        <f t="shared" si="20"/>
        <v>153800.63</v>
      </c>
      <c r="S63" s="82">
        <f t="shared" si="20"/>
        <v>162120.22</v>
      </c>
      <c r="T63" s="82">
        <f t="shared" si="20"/>
        <v>158968.04999999999</v>
      </c>
      <c r="U63" s="82">
        <v>210167.11</v>
      </c>
      <c r="V63" s="82">
        <f t="shared" si="20"/>
        <v>1715824.89</v>
      </c>
      <c r="W63" s="82">
        <f t="shared" si="20"/>
        <v>401525.11000000004</v>
      </c>
      <c r="X63" s="73"/>
    </row>
    <row r="64" spans="1:24 16305:16325" s="74" customFormat="1" ht="13.5" hidden="1" thickBot="1" x14ac:dyDescent="0.25">
      <c r="A64" s="66">
        <v>22</v>
      </c>
      <c r="B64" s="67">
        <v>3</v>
      </c>
      <c r="C64" s="84">
        <v>2</v>
      </c>
      <c r="D64" s="85">
        <v>2</v>
      </c>
      <c r="E64" s="85">
        <v>1</v>
      </c>
      <c r="F64" s="85">
        <v>2</v>
      </c>
      <c r="G64" s="109"/>
      <c r="H64" s="98" t="s">
        <v>199</v>
      </c>
      <c r="I64" s="88">
        <v>10000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>
        <f>SUM(J64:U64)</f>
        <v>0</v>
      </c>
      <c r="W64" s="88">
        <f>I64-V64</f>
        <v>10000</v>
      </c>
      <c r="X64" s="73"/>
    </row>
    <row r="65" spans="1:24" s="74" customFormat="1" ht="13.5" hidden="1" thickBot="1" x14ac:dyDescent="0.25">
      <c r="A65" s="66">
        <v>22</v>
      </c>
      <c r="B65" s="67">
        <v>3</v>
      </c>
      <c r="C65" s="84">
        <v>2</v>
      </c>
      <c r="D65" s="85">
        <v>2</v>
      </c>
      <c r="E65" s="85">
        <v>1</v>
      </c>
      <c r="F65" s="85">
        <v>3</v>
      </c>
      <c r="G65" s="109"/>
      <c r="H65" s="98" t="s">
        <v>200</v>
      </c>
      <c r="I65" s="88">
        <v>1280000</v>
      </c>
      <c r="J65" s="88">
        <v>98901.62</v>
      </c>
      <c r="K65" s="88">
        <v>96528.75</v>
      </c>
      <c r="L65" s="88">
        <v>91289.53</v>
      </c>
      <c r="M65" s="88">
        <v>88670.98</v>
      </c>
      <c r="N65" s="88">
        <v>88888.12</v>
      </c>
      <c r="O65" s="88">
        <v>88856.209999999992</v>
      </c>
      <c r="P65" s="88">
        <v>131638.82</v>
      </c>
      <c r="Q65" s="88">
        <v>91778.989999999991</v>
      </c>
      <c r="R65" s="88">
        <v>91703.37</v>
      </c>
      <c r="S65" s="88">
        <v>86619.48</v>
      </c>
      <c r="T65" s="88">
        <v>92561.48</v>
      </c>
      <c r="U65" s="88">
        <v>108934.87</v>
      </c>
      <c r="V65" s="88">
        <f>SUM(J65:U65)</f>
        <v>1156372.22</v>
      </c>
      <c r="W65" s="88">
        <f>I65-V65</f>
        <v>123627.78000000003</v>
      </c>
      <c r="X65" s="73"/>
    </row>
    <row r="66" spans="1:24" s="74" customFormat="1" ht="13.5" hidden="1" thickBot="1" x14ac:dyDescent="0.25">
      <c r="A66" s="66">
        <v>22</v>
      </c>
      <c r="B66" s="67">
        <v>3</v>
      </c>
      <c r="C66" s="84">
        <v>2</v>
      </c>
      <c r="D66" s="85">
        <v>2</v>
      </c>
      <c r="E66" s="85">
        <v>1</v>
      </c>
      <c r="F66" s="85">
        <v>4</v>
      </c>
      <c r="G66" s="109"/>
      <c r="H66" s="98" t="s">
        <v>201</v>
      </c>
      <c r="I66" s="88">
        <v>30000</v>
      </c>
      <c r="J66" s="88">
        <v>0</v>
      </c>
      <c r="K66" s="88">
        <v>0</v>
      </c>
      <c r="L66" s="88"/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/>
      <c r="S66" s="88"/>
      <c r="T66" s="88"/>
      <c r="U66" s="88"/>
      <c r="V66" s="88">
        <f>SUM(J66:U66)</f>
        <v>0</v>
      </c>
      <c r="W66" s="88">
        <f>I66-V66</f>
        <v>30000</v>
      </c>
      <c r="X66" s="73"/>
    </row>
    <row r="67" spans="1:24" s="74" customFormat="1" ht="13.5" hidden="1" thickBot="1" x14ac:dyDescent="0.25">
      <c r="A67" s="66">
        <v>22</v>
      </c>
      <c r="B67" s="67">
        <v>3</v>
      </c>
      <c r="C67" s="84">
        <v>2</v>
      </c>
      <c r="D67" s="85">
        <v>2</v>
      </c>
      <c r="E67" s="85">
        <v>1</v>
      </c>
      <c r="F67" s="85">
        <v>5</v>
      </c>
      <c r="G67" s="109"/>
      <c r="H67" s="98" t="s">
        <v>202</v>
      </c>
      <c r="I67" s="88">
        <v>205000</v>
      </c>
      <c r="J67" s="88">
        <v>10835.74</v>
      </c>
      <c r="K67" s="88">
        <v>8186.89</v>
      </c>
      <c r="L67" s="88">
        <v>12416.92</v>
      </c>
      <c r="M67" s="88">
        <v>12015.79</v>
      </c>
      <c r="N67" s="88">
        <v>12031.67</v>
      </c>
      <c r="O67" s="88">
        <v>12047.6</v>
      </c>
      <c r="P67" s="88">
        <v>13421.36</v>
      </c>
      <c r="Q67" s="88">
        <v>11998.92</v>
      </c>
      <c r="R67" s="88">
        <v>11998.92</v>
      </c>
      <c r="S67" s="88">
        <v>20079.560000000001</v>
      </c>
      <c r="T67" s="88">
        <v>11999</v>
      </c>
      <c r="U67" s="88">
        <v>12681.16</v>
      </c>
      <c r="V67" s="88">
        <f>SUM(J67:U67)</f>
        <v>149713.53</v>
      </c>
      <c r="W67" s="88">
        <f>I67-V67</f>
        <v>55286.47</v>
      </c>
      <c r="X67" s="73"/>
    </row>
    <row r="68" spans="1:24" s="83" customFormat="1" ht="13.5" hidden="1" thickBot="1" x14ac:dyDescent="0.25">
      <c r="A68" s="76">
        <v>22</v>
      </c>
      <c r="B68" s="77">
        <v>3</v>
      </c>
      <c r="C68" s="78">
        <v>2</v>
      </c>
      <c r="D68" s="79">
        <v>2</v>
      </c>
      <c r="E68" s="79">
        <v>1</v>
      </c>
      <c r="F68" s="79">
        <v>6</v>
      </c>
      <c r="G68" s="80"/>
      <c r="H68" s="81" t="s">
        <v>203</v>
      </c>
      <c r="I68" s="82">
        <f t="shared" ref="I68:W68" si="21">I69</f>
        <v>555000</v>
      </c>
      <c r="J68" s="82">
        <f t="shared" si="21"/>
        <v>27098</v>
      </c>
      <c r="K68" s="82">
        <f t="shared" si="21"/>
        <v>19433.2</v>
      </c>
      <c r="L68" s="82">
        <f t="shared" si="21"/>
        <v>15895.6</v>
      </c>
      <c r="M68" s="82">
        <f t="shared" si="21"/>
        <v>17679.37</v>
      </c>
      <c r="N68" s="82">
        <f t="shared" si="21"/>
        <v>0</v>
      </c>
      <c r="O68" s="82">
        <f t="shared" si="21"/>
        <v>37687.199999999997</v>
      </c>
      <c r="P68" s="82">
        <f t="shared" si="21"/>
        <v>0</v>
      </c>
      <c r="Q68" s="82">
        <f t="shared" si="21"/>
        <v>18843.599999999999</v>
      </c>
      <c r="R68" s="82">
        <f t="shared" si="21"/>
        <v>47020.34</v>
      </c>
      <c r="S68" s="82">
        <f t="shared" si="21"/>
        <v>52343.18</v>
      </c>
      <c r="T68" s="82">
        <f t="shared" si="21"/>
        <v>49974.17</v>
      </c>
      <c r="U68" s="82">
        <v>85263.679999999993</v>
      </c>
      <c r="V68" s="82">
        <f t="shared" si="21"/>
        <v>371238.33999999997</v>
      </c>
      <c r="W68" s="82">
        <f t="shared" si="21"/>
        <v>183761.66000000003</v>
      </c>
      <c r="X68" s="73"/>
    </row>
    <row r="69" spans="1:24" s="74" customFormat="1" ht="13.5" hidden="1" thickBot="1" x14ac:dyDescent="0.25">
      <c r="A69" s="66">
        <v>22</v>
      </c>
      <c r="B69" s="67">
        <v>4</v>
      </c>
      <c r="C69" s="84">
        <v>2</v>
      </c>
      <c r="D69" s="85">
        <v>2</v>
      </c>
      <c r="E69" s="85">
        <v>1</v>
      </c>
      <c r="F69" s="85">
        <v>6</v>
      </c>
      <c r="G69" s="109" t="s">
        <v>154</v>
      </c>
      <c r="H69" s="98" t="s">
        <v>204</v>
      </c>
      <c r="I69" s="88">
        <v>555000</v>
      </c>
      <c r="J69" s="88">
        <v>27098</v>
      </c>
      <c r="K69" s="88">
        <v>19433.2</v>
      </c>
      <c r="L69" s="88">
        <v>15895.6</v>
      </c>
      <c r="M69" s="88">
        <v>17679.37</v>
      </c>
      <c r="N69" s="88"/>
      <c r="O69" s="88">
        <v>37687.199999999997</v>
      </c>
      <c r="P69" s="88"/>
      <c r="Q69" s="88">
        <v>18843.599999999999</v>
      </c>
      <c r="R69" s="88">
        <v>47020.34</v>
      </c>
      <c r="S69" s="88">
        <v>52343.18</v>
      </c>
      <c r="T69" s="88">
        <v>49974.17</v>
      </c>
      <c r="U69" s="88">
        <v>85263.679999999993</v>
      </c>
      <c r="V69" s="88">
        <f>SUM(J69:U69)</f>
        <v>371238.33999999997</v>
      </c>
      <c r="W69" s="88">
        <f>I69-V69</f>
        <v>183761.66000000003</v>
      </c>
      <c r="X69" s="73"/>
    </row>
    <row r="70" spans="1:24" s="74" customFormat="1" ht="13.5" hidden="1" thickBot="1" x14ac:dyDescent="0.25">
      <c r="A70" s="66">
        <v>22</v>
      </c>
      <c r="B70" s="67">
        <v>3</v>
      </c>
      <c r="C70" s="84">
        <v>2</v>
      </c>
      <c r="D70" s="85">
        <v>2</v>
      </c>
      <c r="E70" s="85">
        <v>1</v>
      </c>
      <c r="F70" s="85">
        <v>7</v>
      </c>
      <c r="G70" s="109"/>
      <c r="H70" s="98" t="s">
        <v>205</v>
      </c>
      <c r="I70" s="88">
        <v>7500</v>
      </c>
      <c r="J70" s="88">
        <v>594</v>
      </c>
      <c r="K70" s="88">
        <v>594</v>
      </c>
      <c r="L70" s="88">
        <v>594</v>
      </c>
      <c r="M70" s="88">
        <v>0</v>
      </c>
      <c r="N70" s="88">
        <v>594</v>
      </c>
      <c r="O70" s="88">
        <v>0</v>
      </c>
      <c r="P70" s="88">
        <v>1188</v>
      </c>
      <c r="Q70" s="88">
        <v>1188</v>
      </c>
      <c r="R70" s="88">
        <v>594</v>
      </c>
      <c r="S70" s="88">
        <v>594</v>
      </c>
      <c r="T70" s="88">
        <v>594.4</v>
      </c>
      <c r="U70" s="88">
        <v>594.4</v>
      </c>
      <c r="V70" s="88">
        <f>SUM(J70:U70)</f>
        <v>7128.7999999999993</v>
      </c>
      <c r="W70" s="88">
        <f>I70-V70</f>
        <v>371.20000000000073</v>
      </c>
      <c r="X70" s="73"/>
    </row>
    <row r="71" spans="1:24" s="74" customFormat="1" ht="13.5" hidden="1" thickBot="1" x14ac:dyDescent="0.25">
      <c r="A71" s="66">
        <v>22</v>
      </c>
      <c r="B71" s="67">
        <v>3</v>
      </c>
      <c r="C71" s="84">
        <v>2</v>
      </c>
      <c r="D71" s="85">
        <v>2</v>
      </c>
      <c r="E71" s="85">
        <v>1</v>
      </c>
      <c r="F71" s="85">
        <v>8</v>
      </c>
      <c r="G71" s="109"/>
      <c r="H71" s="98" t="s">
        <v>206</v>
      </c>
      <c r="I71" s="88">
        <v>29850</v>
      </c>
      <c r="J71" s="88">
        <v>2484</v>
      </c>
      <c r="K71" s="88">
        <v>2484</v>
      </c>
      <c r="L71" s="88">
        <v>2484</v>
      </c>
      <c r="M71" s="88">
        <v>2484</v>
      </c>
      <c r="N71" s="88">
        <v>2484</v>
      </c>
      <c r="O71" s="88">
        <v>2484</v>
      </c>
      <c r="P71" s="88">
        <v>2484</v>
      </c>
      <c r="Q71" s="88">
        <v>2484</v>
      </c>
      <c r="R71" s="88">
        <v>2484</v>
      </c>
      <c r="S71" s="88">
        <v>2484</v>
      </c>
      <c r="T71" s="88">
        <v>3839</v>
      </c>
      <c r="U71" s="88">
        <v>2693</v>
      </c>
      <c r="V71" s="88">
        <f>SUM(J71:U71)</f>
        <v>31372</v>
      </c>
      <c r="W71" s="88">
        <f>I71-V71</f>
        <v>-1522</v>
      </c>
      <c r="X71" s="73"/>
    </row>
    <row r="72" spans="1:24" s="74" customFormat="1" ht="13.5" hidden="1" thickBot="1" x14ac:dyDescent="0.25">
      <c r="A72" s="6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3"/>
    </row>
    <row r="73" spans="1:24" s="74" customFormat="1" ht="13.5" hidden="1" thickBot="1" x14ac:dyDescent="0.25">
      <c r="A73" s="66">
        <v>22</v>
      </c>
      <c r="B73" s="67">
        <v>2</v>
      </c>
      <c r="C73" s="78">
        <v>2</v>
      </c>
      <c r="D73" s="79">
        <v>2</v>
      </c>
      <c r="E73" s="79">
        <v>2</v>
      </c>
      <c r="F73" s="107"/>
      <c r="G73" s="108"/>
      <c r="H73" s="110" t="s">
        <v>207</v>
      </c>
      <c r="I73" s="82">
        <f t="shared" ref="I73:W73" si="22">I74+I75</f>
        <v>380000</v>
      </c>
      <c r="J73" s="82">
        <f t="shared" si="22"/>
        <v>0</v>
      </c>
      <c r="K73" s="82">
        <f t="shared" si="22"/>
        <v>0</v>
      </c>
      <c r="L73" s="82">
        <f t="shared" si="22"/>
        <v>0</v>
      </c>
      <c r="M73" s="82">
        <f t="shared" si="22"/>
        <v>0</v>
      </c>
      <c r="N73" s="82">
        <f t="shared" si="22"/>
        <v>0</v>
      </c>
      <c r="O73" s="82">
        <f t="shared" si="22"/>
        <v>0</v>
      </c>
      <c r="P73" s="82">
        <f t="shared" si="22"/>
        <v>0</v>
      </c>
      <c r="Q73" s="82">
        <f t="shared" si="22"/>
        <v>0</v>
      </c>
      <c r="R73" s="82">
        <f t="shared" si="22"/>
        <v>0</v>
      </c>
      <c r="S73" s="82">
        <f t="shared" si="22"/>
        <v>0</v>
      </c>
      <c r="T73" s="82">
        <f t="shared" si="22"/>
        <v>0</v>
      </c>
      <c r="U73" s="82">
        <v>37878</v>
      </c>
      <c r="V73" s="82">
        <f t="shared" si="22"/>
        <v>37878</v>
      </c>
      <c r="W73" s="82">
        <f t="shared" si="22"/>
        <v>342122</v>
      </c>
      <c r="X73" s="73"/>
    </row>
    <row r="74" spans="1:24" s="83" customFormat="1" ht="13.5" hidden="1" thickBot="1" x14ac:dyDescent="0.25">
      <c r="A74" s="66">
        <v>22</v>
      </c>
      <c r="B74" s="67">
        <v>3</v>
      </c>
      <c r="C74" s="90">
        <v>2</v>
      </c>
      <c r="D74" s="91">
        <v>2</v>
      </c>
      <c r="E74" s="91">
        <v>2</v>
      </c>
      <c r="F74" s="91">
        <v>1</v>
      </c>
      <c r="G74" s="92"/>
      <c r="H74" s="111" t="s">
        <v>208</v>
      </c>
      <c r="I74" s="88">
        <v>50000</v>
      </c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>
        <v>37878</v>
      </c>
      <c r="V74" s="88">
        <f>SUM(J74:U74)</f>
        <v>37878</v>
      </c>
      <c r="W74" s="88">
        <f>I74-V74</f>
        <v>12122</v>
      </c>
      <c r="X74" s="73"/>
    </row>
    <row r="75" spans="1:24" s="83" customFormat="1" ht="13.5" hidden="1" thickBot="1" x14ac:dyDescent="0.25">
      <c r="A75" s="66">
        <v>22</v>
      </c>
      <c r="B75" s="67">
        <v>3</v>
      </c>
      <c r="C75" s="90">
        <v>2</v>
      </c>
      <c r="D75" s="91">
        <v>2</v>
      </c>
      <c r="E75" s="91">
        <v>2</v>
      </c>
      <c r="F75" s="91">
        <v>2</v>
      </c>
      <c r="G75" s="92"/>
      <c r="H75" s="111" t="s">
        <v>209</v>
      </c>
      <c r="I75" s="88">
        <v>330000</v>
      </c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>
        <f>SUM(J75:U75)</f>
        <v>0</v>
      </c>
      <c r="W75" s="88">
        <f>I75-V75</f>
        <v>330000</v>
      </c>
      <c r="X75" s="73"/>
    </row>
    <row r="76" spans="1:24" s="74" customFormat="1" ht="13.5" hidden="1" thickBot="1" x14ac:dyDescent="0.25">
      <c r="A76" s="6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3"/>
    </row>
    <row r="77" spans="1:24" s="74" customFormat="1" ht="13.5" hidden="1" thickBot="1" x14ac:dyDescent="0.25">
      <c r="A77" s="66">
        <v>22</v>
      </c>
      <c r="B77" s="67">
        <v>2</v>
      </c>
      <c r="C77" s="78">
        <v>2</v>
      </c>
      <c r="D77" s="79">
        <v>2</v>
      </c>
      <c r="E77" s="79">
        <v>3</v>
      </c>
      <c r="F77" s="107"/>
      <c r="G77" s="108"/>
      <c r="H77" s="110" t="s">
        <v>210</v>
      </c>
      <c r="I77" s="82">
        <f t="shared" ref="I77:W77" si="23">I78+I79</f>
        <v>1740375</v>
      </c>
      <c r="J77" s="82">
        <f t="shared" si="23"/>
        <v>0</v>
      </c>
      <c r="K77" s="82">
        <f t="shared" si="23"/>
        <v>15700</v>
      </c>
      <c r="L77" s="82">
        <f t="shared" si="23"/>
        <v>7800</v>
      </c>
      <c r="M77" s="82">
        <f t="shared" si="23"/>
        <v>0</v>
      </c>
      <c r="N77" s="82">
        <f t="shared" si="23"/>
        <v>0</v>
      </c>
      <c r="O77" s="82">
        <f t="shared" si="23"/>
        <v>16486.96</v>
      </c>
      <c r="P77" s="82">
        <f t="shared" si="23"/>
        <v>0</v>
      </c>
      <c r="Q77" s="82">
        <f t="shared" si="23"/>
        <v>0</v>
      </c>
      <c r="R77" s="82">
        <f t="shared" si="23"/>
        <v>0</v>
      </c>
      <c r="S77" s="82">
        <f t="shared" si="23"/>
        <v>0</v>
      </c>
      <c r="T77" s="82">
        <f t="shared" si="23"/>
        <v>0</v>
      </c>
      <c r="U77" s="82">
        <v>91502.16</v>
      </c>
      <c r="V77" s="82">
        <f t="shared" si="23"/>
        <v>131489.12</v>
      </c>
      <c r="W77" s="82">
        <f t="shared" si="23"/>
        <v>1608885.88</v>
      </c>
      <c r="X77" s="73"/>
    </row>
    <row r="78" spans="1:24" s="83" customFormat="1" ht="13.5" hidden="1" thickBot="1" x14ac:dyDescent="0.25">
      <c r="A78" s="66">
        <v>22</v>
      </c>
      <c r="B78" s="67">
        <v>3</v>
      </c>
      <c r="C78" s="84">
        <v>2</v>
      </c>
      <c r="D78" s="85">
        <v>2</v>
      </c>
      <c r="E78" s="85">
        <v>3</v>
      </c>
      <c r="F78" s="85">
        <v>1</v>
      </c>
      <c r="G78" s="109"/>
      <c r="H78" s="98" t="s">
        <v>211</v>
      </c>
      <c r="I78" s="88">
        <v>1665375</v>
      </c>
      <c r="J78" s="88"/>
      <c r="K78" s="88">
        <v>15700</v>
      </c>
      <c r="L78" s="88">
        <v>7800</v>
      </c>
      <c r="M78" s="88">
        <v>0</v>
      </c>
      <c r="N78" s="88">
        <v>0</v>
      </c>
      <c r="O78" s="88">
        <v>16486.96</v>
      </c>
      <c r="P78" s="88"/>
      <c r="Q78" s="88"/>
      <c r="R78" s="88"/>
      <c r="S78" s="88"/>
      <c r="T78" s="88"/>
      <c r="U78" s="88">
        <v>91502.16</v>
      </c>
      <c r="V78" s="88">
        <f>SUM(J78:U78)</f>
        <v>131489.12</v>
      </c>
      <c r="W78" s="88">
        <f>I78-V78</f>
        <v>1533885.88</v>
      </c>
      <c r="X78" s="73"/>
    </row>
    <row r="79" spans="1:24" s="83" customFormat="1" ht="13.5" hidden="1" thickBot="1" x14ac:dyDescent="0.25">
      <c r="A79" s="66">
        <v>22</v>
      </c>
      <c r="B79" s="67">
        <v>3</v>
      </c>
      <c r="C79" s="84">
        <v>2</v>
      </c>
      <c r="D79" s="85">
        <v>2</v>
      </c>
      <c r="E79" s="85">
        <v>3</v>
      </c>
      <c r="F79" s="85">
        <v>2</v>
      </c>
      <c r="G79" s="109"/>
      <c r="H79" s="98" t="s">
        <v>212</v>
      </c>
      <c r="I79" s="88">
        <v>75000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>
        <f>SUM(J79:U79)</f>
        <v>0</v>
      </c>
      <c r="W79" s="88">
        <f>I79-V79</f>
        <v>75000</v>
      </c>
      <c r="X79" s="73"/>
    </row>
    <row r="80" spans="1:24" s="74" customFormat="1" ht="13.5" hidden="1" thickBot="1" x14ac:dyDescent="0.25">
      <c r="A80" s="66"/>
      <c r="B80" s="67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3"/>
    </row>
    <row r="81" spans="1:56" s="74" customFormat="1" ht="13.5" hidden="1" thickBot="1" x14ac:dyDescent="0.25">
      <c r="A81" s="66">
        <v>22</v>
      </c>
      <c r="B81" s="67">
        <v>2</v>
      </c>
      <c r="C81" s="78">
        <v>2</v>
      </c>
      <c r="D81" s="79">
        <v>2</v>
      </c>
      <c r="E81" s="79">
        <v>4</v>
      </c>
      <c r="F81" s="107"/>
      <c r="G81" s="108"/>
      <c r="H81" s="110" t="s">
        <v>213</v>
      </c>
      <c r="I81" s="82">
        <f t="shared" ref="I81:W81" si="24">I82+I83</f>
        <v>70000</v>
      </c>
      <c r="J81" s="82">
        <f t="shared" si="24"/>
        <v>0</v>
      </c>
      <c r="K81" s="82">
        <f t="shared" si="24"/>
        <v>0</v>
      </c>
      <c r="L81" s="82">
        <f t="shared" si="24"/>
        <v>0</v>
      </c>
      <c r="M81" s="82">
        <f t="shared" si="24"/>
        <v>0</v>
      </c>
      <c r="N81" s="82">
        <f t="shared" si="24"/>
        <v>0</v>
      </c>
      <c r="O81" s="82">
        <f t="shared" si="24"/>
        <v>0</v>
      </c>
      <c r="P81" s="82">
        <f t="shared" si="24"/>
        <v>0</v>
      </c>
      <c r="Q81" s="82">
        <f t="shared" si="24"/>
        <v>0</v>
      </c>
      <c r="R81" s="82">
        <f t="shared" si="24"/>
        <v>0</v>
      </c>
      <c r="S81" s="82">
        <f t="shared" si="24"/>
        <v>0</v>
      </c>
      <c r="T81" s="82">
        <f t="shared" si="24"/>
        <v>0</v>
      </c>
      <c r="U81" s="82">
        <v>60000</v>
      </c>
      <c r="V81" s="82">
        <f t="shared" si="24"/>
        <v>60000</v>
      </c>
      <c r="W81" s="82">
        <f t="shared" si="24"/>
        <v>10000</v>
      </c>
      <c r="X81" s="73"/>
    </row>
    <row r="82" spans="1:56" s="83" customFormat="1" ht="13.5" hidden="1" thickBot="1" x14ac:dyDescent="0.25">
      <c r="A82" s="66">
        <v>22</v>
      </c>
      <c r="B82" s="67">
        <v>3</v>
      </c>
      <c r="C82" s="90">
        <v>2</v>
      </c>
      <c r="D82" s="91">
        <v>2</v>
      </c>
      <c r="E82" s="91">
        <v>4</v>
      </c>
      <c r="F82" s="91">
        <v>1</v>
      </c>
      <c r="G82" s="92"/>
      <c r="H82" s="112" t="s">
        <v>214</v>
      </c>
      <c r="I82" s="88">
        <v>10000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>
        <f>SUM(J82:U82)</f>
        <v>0</v>
      </c>
      <c r="W82" s="88">
        <f>I82-V82</f>
        <v>10000</v>
      </c>
      <c r="X82" s="73"/>
    </row>
    <row r="83" spans="1:56" s="83" customFormat="1" ht="13.5" hidden="1" thickBot="1" x14ac:dyDescent="0.25">
      <c r="A83" s="66">
        <v>22</v>
      </c>
      <c r="B83" s="67">
        <v>3</v>
      </c>
      <c r="C83" s="90">
        <v>2</v>
      </c>
      <c r="D83" s="91">
        <v>2</v>
      </c>
      <c r="E83" s="91">
        <v>4</v>
      </c>
      <c r="F83" s="91">
        <v>4</v>
      </c>
      <c r="G83" s="92"/>
      <c r="H83" s="112" t="s">
        <v>215</v>
      </c>
      <c r="I83" s="88">
        <v>60000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>
        <v>60000</v>
      </c>
      <c r="V83" s="88">
        <f>SUM(J83:U83)</f>
        <v>60000</v>
      </c>
      <c r="W83" s="88">
        <f>I83-V83</f>
        <v>0</v>
      </c>
      <c r="X83" s="73"/>
    </row>
    <row r="84" spans="1:56" s="74" customFormat="1" ht="13.5" hidden="1" thickBot="1" x14ac:dyDescent="0.25">
      <c r="A84" s="66"/>
      <c r="B84" s="67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3"/>
    </row>
    <row r="85" spans="1:56" s="74" customFormat="1" ht="13.5" hidden="1" thickBot="1" x14ac:dyDescent="0.25">
      <c r="A85" s="66">
        <v>22</v>
      </c>
      <c r="B85" s="67">
        <v>2</v>
      </c>
      <c r="C85" s="78">
        <v>2</v>
      </c>
      <c r="D85" s="79">
        <v>2</v>
      </c>
      <c r="E85" s="79">
        <v>5</v>
      </c>
      <c r="F85" s="107"/>
      <c r="G85" s="108"/>
      <c r="H85" s="110" t="s">
        <v>216</v>
      </c>
      <c r="I85" s="82">
        <f t="shared" ref="I85:W85" si="25">SUM(I86:I89)</f>
        <v>386200</v>
      </c>
      <c r="J85" s="82">
        <f t="shared" si="25"/>
        <v>0</v>
      </c>
      <c r="K85" s="82">
        <f t="shared" si="25"/>
        <v>0</v>
      </c>
      <c r="L85" s="82">
        <f t="shared" si="25"/>
        <v>0</v>
      </c>
      <c r="M85" s="82">
        <f t="shared" si="25"/>
        <v>0</v>
      </c>
      <c r="N85" s="82">
        <f t="shared" si="25"/>
        <v>0</v>
      </c>
      <c r="O85" s="82">
        <f t="shared" si="25"/>
        <v>0</v>
      </c>
      <c r="P85" s="82">
        <f t="shared" si="25"/>
        <v>0</v>
      </c>
      <c r="Q85" s="82">
        <f t="shared" si="25"/>
        <v>0</v>
      </c>
      <c r="R85" s="82">
        <f t="shared" si="25"/>
        <v>71188.320000000007</v>
      </c>
      <c r="S85" s="82">
        <f t="shared" si="25"/>
        <v>25000.66</v>
      </c>
      <c r="T85" s="82">
        <f t="shared" si="25"/>
        <v>25000.66</v>
      </c>
      <c r="U85" s="82">
        <v>142972.34</v>
      </c>
      <c r="V85" s="82">
        <f t="shared" si="25"/>
        <v>264161.98</v>
      </c>
      <c r="W85" s="82">
        <f t="shared" si="25"/>
        <v>122038.01999999999</v>
      </c>
      <c r="X85" s="73"/>
    </row>
    <row r="86" spans="1:56" s="114" customFormat="1" ht="13.5" hidden="1" thickBot="1" x14ac:dyDescent="0.25">
      <c r="A86" s="113">
        <v>22</v>
      </c>
      <c r="B86" s="67">
        <v>3</v>
      </c>
      <c r="C86" s="84">
        <v>2</v>
      </c>
      <c r="D86" s="85">
        <v>2</v>
      </c>
      <c r="E86" s="85">
        <v>5</v>
      </c>
      <c r="F86" s="85">
        <v>1</v>
      </c>
      <c r="G86" s="109"/>
      <c r="H86" s="98" t="s">
        <v>217</v>
      </c>
      <c r="I86" s="88">
        <v>100000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>
        <f>SUM(J86:U86)</f>
        <v>0</v>
      </c>
      <c r="W86" s="88">
        <f>I86-V86</f>
        <v>100000</v>
      </c>
      <c r="X86" s="73"/>
    </row>
    <row r="87" spans="1:56" s="114" customFormat="1" ht="13.5" hidden="1" thickBot="1" x14ac:dyDescent="0.25">
      <c r="A87" s="113">
        <v>22</v>
      </c>
      <c r="B87" s="67">
        <v>3</v>
      </c>
      <c r="C87" s="84">
        <v>2</v>
      </c>
      <c r="D87" s="85">
        <v>2</v>
      </c>
      <c r="E87" s="85">
        <v>5</v>
      </c>
      <c r="F87" s="85">
        <v>4</v>
      </c>
      <c r="G87" s="109"/>
      <c r="H87" s="98" t="s">
        <v>218</v>
      </c>
      <c r="I87" s="88">
        <v>20000</v>
      </c>
      <c r="J87" s="88"/>
      <c r="K87" s="88"/>
      <c r="L87" s="88"/>
      <c r="M87" s="88"/>
      <c r="N87" s="88"/>
      <c r="O87" s="88"/>
      <c r="P87" s="88"/>
      <c r="Q87" s="88"/>
      <c r="R87" s="88">
        <v>71188.320000000007</v>
      </c>
      <c r="S87" s="88">
        <v>25000.66</v>
      </c>
      <c r="T87" s="88"/>
      <c r="U87" s="88"/>
      <c r="V87" s="88">
        <f>SUM(J87:U87)</f>
        <v>96188.98000000001</v>
      </c>
      <c r="W87" s="88">
        <f>I87-V87</f>
        <v>-76188.98000000001</v>
      </c>
      <c r="X87" s="73"/>
    </row>
    <row r="88" spans="1:56" s="114" customFormat="1" ht="13.5" hidden="1" thickBot="1" x14ac:dyDescent="0.25">
      <c r="A88" s="113">
        <v>22</v>
      </c>
      <c r="B88" s="67">
        <v>3</v>
      </c>
      <c r="C88" s="84">
        <v>2</v>
      </c>
      <c r="D88" s="85">
        <v>2</v>
      </c>
      <c r="E88" s="85">
        <v>5</v>
      </c>
      <c r="F88" s="85">
        <v>8</v>
      </c>
      <c r="G88" s="109"/>
      <c r="H88" s="115" t="s">
        <v>343</v>
      </c>
      <c r="I88" s="88">
        <v>146200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>
        <v>25000.66</v>
      </c>
      <c r="U88" s="88">
        <v>25000.66</v>
      </c>
      <c r="V88" s="88">
        <f>SUM(J88:U88)</f>
        <v>50001.32</v>
      </c>
      <c r="W88" s="88">
        <f>I88-V88</f>
        <v>96198.68</v>
      </c>
      <c r="X88" s="73"/>
    </row>
    <row r="89" spans="1:56" s="114" customFormat="1" ht="13.5" hidden="1" thickBot="1" x14ac:dyDescent="0.25">
      <c r="A89" s="113">
        <v>22</v>
      </c>
      <c r="B89" s="67">
        <v>3</v>
      </c>
      <c r="C89" s="84">
        <v>2</v>
      </c>
      <c r="D89" s="85">
        <v>2</v>
      </c>
      <c r="E89" s="85">
        <v>5</v>
      </c>
      <c r="F89" s="85">
        <v>9</v>
      </c>
      <c r="G89" s="109"/>
      <c r="H89" s="98" t="s">
        <v>219</v>
      </c>
      <c r="I89" s="88">
        <v>120000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>
        <v>117971.68</v>
      </c>
      <c r="V89" s="88">
        <f>SUM(J89:U89)</f>
        <v>117971.68</v>
      </c>
      <c r="W89" s="88">
        <f>I89-V89</f>
        <v>2028.320000000007</v>
      </c>
      <c r="X89" s="73"/>
    </row>
    <row r="90" spans="1:56" s="74" customFormat="1" ht="13.5" hidden="1" thickBot="1" x14ac:dyDescent="0.25">
      <c r="A90" s="66"/>
      <c r="B90" s="67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3"/>
    </row>
    <row r="91" spans="1:56" s="74" customFormat="1" ht="13.5" hidden="1" thickBot="1" x14ac:dyDescent="0.25">
      <c r="A91" s="66">
        <v>22</v>
      </c>
      <c r="B91" s="67">
        <v>2</v>
      </c>
      <c r="C91" s="78">
        <v>2</v>
      </c>
      <c r="D91" s="79">
        <v>2</v>
      </c>
      <c r="E91" s="79">
        <v>6</v>
      </c>
      <c r="F91" s="107"/>
      <c r="G91" s="108"/>
      <c r="H91" s="110" t="s">
        <v>220</v>
      </c>
      <c r="I91" s="82">
        <f t="shared" ref="I91:W91" si="26">SUM(I92:I95)</f>
        <v>3270000</v>
      </c>
      <c r="J91" s="82">
        <f t="shared" si="26"/>
        <v>247374.18</v>
      </c>
      <c r="K91" s="82">
        <f t="shared" si="26"/>
        <v>296461.73</v>
      </c>
      <c r="L91" s="82">
        <f t="shared" si="26"/>
        <v>267140</v>
      </c>
      <c r="M91" s="82">
        <f t="shared" si="26"/>
        <v>264414.46000000002</v>
      </c>
      <c r="N91" s="82">
        <f t="shared" si="26"/>
        <v>329778.37</v>
      </c>
      <c r="O91" s="82">
        <f t="shared" si="26"/>
        <v>312995.26</v>
      </c>
      <c r="P91" s="168">
        <f t="shared" si="26"/>
        <v>373279.15</v>
      </c>
      <c r="Q91" s="82">
        <f t="shared" si="26"/>
        <v>333249.33999999997</v>
      </c>
      <c r="R91" s="82">
        <f t="shared" si="26"/>
        <v>24098.12</v>
      </c>
      <c r="S91" s="82">
        <f t="shared" si="26"/>
        <v>31563.439999999999</v>
      </c>
      <c r="T91" s="82">
        <f t="shared" si="26"/>
        <v>638809.51</v>
      </c>
      <c r="U91" s="82">
        <v>387882.02</v>
      </c>
      <c r="V91" s="82">
        <f t="shared" si="26"/>
        <v>3507045.58</v>
      </c>
      <c r="W91" s="82">
        <f t="shared" si="26"/>
        <v>-237045.58000000013</v>
      </c>
      <c r="X91" s="73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</row>
    <row r="92" spans="1:56" s="83" customFormat="1" ht="13.5" hidden="1" thickBot="1" x14ac:dyDescent="0.25">
      <c r="A92" s="66">
        <v>22</v>
      </c>
      <c r="B92" s="67">
        <v>3</v>
      </c>
      <c r="C92" s="90">
        <v>2</v>
      </c>
      <c r="D92" s="91">
        <v>2</v>
      </c>
      <c r="E92" s="91">
        <v>6</v>
      </c>
      <c r="F92" s="91">
        <v>1</v>
      </c>
      <c r="G92" s="92"/>
      <c r="H92" s="112" t="s">
        <v>221</v>
      </c>
      <c r="I92" s="88">
        <v>60000</v>
      </c>
      <c r="J92" s="88"/>
      <c r="K92" s="88"/>
      <c r="L92" s="88"/>
      <c r="M92" s="88"/>
      <c r="N92" s="88"/>
      <c r="O92" s="88"/>
      <c r="P92" s="88"/>
      <c r="Q92" s="88"/>
      <c r="R92" s="88"/>
      <c r="S92" s="88">
        <v>7465.32</v>
      </c>
      <c r="T92" s="88">
        <v>10440</v>
      </c>
      <c r="U92" s="88"/>
      <c r="V92" s="88">
        <f>SUM(J92:U92)</f>
        <v>17905.32</v>
      </c>
      <c r="W92" s="88">
        <f>I92-V92</f>
        <v>42094.68</v>
      </c>
      <c r="X92" s="73"/>
    </row>
    <row r="93" spans="1:56" s="83" customFormat="1" ht="13.5" hidden="1" thickBot="1" x14ac:dyDescent="0.25">
      <c r="A93" s="66">
        <v>22</v>
      </c>
      <c r="B93" s="67">
        <v>3</v>
      </c>
      <c r="C93" s="90">
        <v>2</v>
      </c>
      <c r="D93" s="91">
        <v>2</v>
      </c>
      <c r="E93" s="91">
        <v>6</v>
      </c>
      <c r="F93" s="91">
        <v>2</v>
      </c>
      <c r="G93" s="92"/>
      <c r="H93" s="112" t="s">
        <v>222</v>
      </c>
      <c r="I93" s="88">
        <v>500000</v>
      </c>
      <c r="J93" s="88">
        <v>0</v>
      </c>
      <c r="K93" s="88"/>
      <c r="L93" s="88"/>
      <c r="M93" s="88"/>
      <c r="N93" s="88"/>
      <c r="O93" s="88"/>
      <c r="P93" s="88"/>
      <c r="Q93" s="88"/>
      <c r="R93" s="88"/>
      <c r="S93" s="88"/>
      <c r="T93" s="88">
        <v>586871.39</v>
      </c>
      <c r="U93" s="88"/>
      <c r="V93" s="88">
        <f>SUM(J93:U93)</f>
        <v>586871.39</v>
      </c>
      <c r="W93" s="88">
        <f>I93-V93</f>
        <v>-86871.390000000014</v>
      </c>
      <c r="X93" s="73"/>
    </row>
    <row r="94" spans="1:56" s="83" customFormat="1" ht="13.5" hidden="1" thickBot="1" x14ac:dyDescent="0.25">
      <c r="A94" s="66">
        <v>22</v>
      </c>
      <c r="B94" s="67">
        <v>3</v>
      </c>
      <c r="C94" s="90">
        <v>2</v>
      </c>
      <c r="D94" s="91">
        <v>2</v>
      </c>
      <c r="E94" s="91">
        <v>6</v>
      </c>
      <c r="F94" s="91">
        <v>3</v>
      </c>
      <c r="G94" s="92"/>
      <c r="H94" s="112" t="s">
        <v>223</v>
      </c>
      <c r="I94" s="88">
        <v>2700000</v>
      </c>
      <c r="J94" s="88">
        <v>247374.18</v>
      </c>
      <c r="K94" s="88">
        <v>296461.73</v>
      </c>
      <c r="L94" s="88">
        <v>267140</v>
      </c>
      <c r="M94" s="88">
        <v>264414.46000000002</v>
      </c>
      <c r="N94" s="88">
        <v>329778.37</v>
      </c>
      <c r="O94" s="88">
        <v>312995.26</v>
      </c>
      <c r="P94" s="99">
        <v>373279.15</v>
      </c>
      <c r="Q94" s="88">
        <v>333249.33999999997</v>
      </c>
      <c r="R94" s="88">
        <v>24098.12</v>
      </c>
      <c r="S94" s="88">
        <v>24098.12</v>
      </c>
      <c r="T94" s="88">
        <v>41498.120000000003</v>
      </c>
      <c r="U94" s="88">
        <v>387882.02</v>
      </c>
      <c r="V94" s="88">
        <f>SUM(J94:U94)</f>
        <v>2902268.87</v>
      </c>
      <c r="W94" s="88">
        <f>I94-V94</f>
        <v>-202268.87000000011</v>
      </c>
      <c r="X94" s="73"/>
    </row>
    <row r="95" spans="1:56" s="83" customFormat="1" ht="13.5" hidden="1" thickBot="1" x14ac:dyDescent="0.25">
      <c r="A95" s="66">
        <v>22</v>
      </c>
      <c r="B95" s="67">
        <v>3</v>
      </c>
      <c r="C95" s="90">
        <v>2</v>
      </c>
      <c r="D95" s="91">
        <v>2</v>
      </c>
      <c r="E95" s="91">
        <v>6</v>
      </c>
      <c r="F95" s="91">
        <v>9</v>
      </c>
      <c r="G95" s="92"/>
      <c r="H95" s="112" t="s">
        <v>224</v>
      </c>
      <c r="I95" s="88">
        <v>10000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>
        <f>SUM(J95:U95)</f>
        <v>0</v>
      </c>
      <c r="W95" s="88">
        <f>I95-V95</f>
        <v>10000</v>
      </c>
      <c r="X95" s="73"/>
    </row>
    <row r="96" spans="1:56" s="74" customFormat="1" ht="13.5" hidden="1" thickBot="1" x14ac:dyDescent="0.25">
      <c r="A96" s="66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3"/>
    </row>
    <row r="97" spans="1:24" s="74" customFormat="1" ht="21.75" hidden="1" thickBot="1" x14ac:dyDescent="0.25">
      <c r="A97" s="66">
        <v>22</v>
      </c>
      <c r="B97" s="67">
        <v>2</v>
      </c>
      <c r="C97" s="78">
        <v>2</v>
      </c>
      <c r="D97" s="79">
        <v>2</v>
      </c>
      <c r="E97" s="79">
        <v>7</v>
      </c>
      <c r="F97" s="107"/>
      <c r="G97" s="108"/>
      <c r="H97" s="117" t="s">
        <v>225</v>
      </c>
      <c r="I97" s="82">
        <f t="shared" ref="I97:W97" si="27">I98+I105</f>
        <v>783000</v>
      </c>
      <c r="J97" s="82">
        <f t="shared" si="27"/>
        <v>0</v>
      </c>
      <c r="K97" s="82">
        <f t="shared" si="27"/>
        <v>13091.77</v>
      </c>
      <c r="L97" s="82">
        <f t="shared" si="27"/>
        <v>133040</v>
      </c>
      <c r="M97" s="82">
        <f t="shared" si="27"/>
        <v>0</v>
      </c>
      <c r="N97" s="82">
        <f t="shared" si="27"/>
        <v>11748.74</v>
      </c>
      <c r="O97" s="82">
        <f t="shared" si="27"/>
        <v>11479.82</v>
      </c>
      <c r="P97" s="82">
        <f t="shared" si="27"/>
        <v>33377.800000000003</v>
      </c>
      <c r="Q97" s="82">
        <f t="shared" si="27"/>
        <v>8588.67</v>
      </c>
      <c r="R97" s="82">
        <f t="shared" si="27"/>
        <v>0</v>
      </c>
      <c r="S97" s="82">
        <f t="shared" si="27"/>
        <v>113026.6</v>
      </c>
      <c r="T97" s="82">
        <f t="shared" si="27"/>
        <v>166022.69</v>
      </c>
      <c r="U97" s="82">
        <v>2644.41</v>
      </c>
      <c r="V97" s="82">
        <f t="shared" si="27"/>
        <v>493020.5</v>
      </c>
      <c r="W97" s="82">
        <f t="shared" si="27"/>
        <v>289979.5</v>
      </c>
      <c r="X97" s="73"/>
    </row>
    <row r="98" spans="1:24" s="83" customFormat="1" ht="13.5" hidden="1" thickBot="1" x14ac:dyDescent="0.25">
      <c r="A98" s="66">
        <v>22</v>
      </c>
      <c r="B98" s="77">
        <v>3</v>
      </c>
      <c r="C98" s="78">
        <v>2</v>
      </c>
      <c r="D98" s="79">
        <v>2</v>
      </c>
      <c r="E98" s="79">
        <v>7</v>
      </c>
      <c r="F98" s="79">
        <v>1</v>
      </c>
      <c r="G98" s="80" t="s">
        <v>113</v>
      </c>
      <c r="H98" s="81" t="s">
        <v>226</v>
      </c>
      <c r="I98" s="82">
        <f t="shared" ref="I98:W98" si="28">SUM(I99:I103)</f>
        <v>243000</v>
      </c>
      <c r="J98" s="82">
        <f t="shared" si="28"/>
        <v>0</v>
      </c>
      <c r="K98" s="82">
        <f t="shared" si="28"/>
        <v>0</v>
      </c>
      <c r="L98" s="82">
        <f t="shared" si="28"/>
        <v>0</v>
      </c>
      <c r="M98" s="82">
        <f t="shared" si="28"/>
        <v>0</v>
      </c>
      <c r="N98" s="82">
        <f t="shared" si="28"/>
        <v>0</v>
      </c>
      <c r="O98" s="82">
        <f t="shared" si="28"/>
        <v>0</v>
      </c>
      <c r="P98" s="82">
        <f t="shared" si="28"/>
        <v>0</v>
      </c>
      <c r="Q98" s="82">
        <f t="shared" si="28"/>
        <v>0</v>
      </c>
      <c r="R98" s="82">
        <f t="shared" si="28"/>
        <v>0</v>
      </c>
      <c r="S98" s="82">
        <f t="shared" si="28"/>
        <v>0</v>
      </c>
      <c r="T98" s="82">
        <f t="shared" si="28"/>
        <v>0</v>
      </c>
      <c r="U98" s="82">
        <v>0</v>
      </c>
      <c r="V98" s="82">
        <f t="shared" si="28"/>
        <v>0</v>
      </c>
      <c r="W98" s="82">
        <f t="shared" si="28"/>
        <v>243000</v>
      </c>
      <c r="X98" s="73"/>
    </row>
    <row r="99" spans="1:24" s="74" customFormat="1" ht="13.5" hidden="1" thickBot="1" x14ac:dyDescent="0.25">
      <c r="A99" s="66">
        <v>22</v>
      </c>
      <c r="B99" s="67">
        <v>4</v>
      </c>
      <c r="C99" s="84">
        <v>2</v>
      </c>
      <c r="D99" s="85">
        <v>2</v>
      </c>
      <c r="E99" s="85">
        <v>7</v>
      </c>
      <c r="F99" s="85">
        <v>1</v>
      </c>
      <c r="G99" s="86" t="s">
        <v>154</v>
      </c>
      <c r="H99" s="118" t="s">
        <v>227</v>
      </c>
      <c r="I99" s="88">
        <v>0</v>
      </c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>
        <f>SUM(J99:U99)</f>
        <v>0</v>
      </c>
      <c r="W99" s="88">
        <f>I99-V99</f>
        <v>0</v>
      </c>
      <c r="X99" s="73"/>
    </row>
    <row r="100" spans="1:24" s="74" customFormat="1" ht="13.5" hidden="1" thickBot="1" x14ac:dyDescent="0.25">
      <c r="A100" s="66">
        <v>22</v>
      </c>
      <c r="B100" s="67">
        <v>4</v>
      </c>
      <c r="C100" s="84">
        <v>2</v>
      </c>
      <c r="D100" s="85">
        <v>2</v>
      </c>
      <c r="E100" s="85">
        <v>7</v>
      </c>
      <c r="F100" s="85">
        <v>1</v>
      </c>
      <c r="G100" s="86" t="s">
        <v>158</v>
      </c>
      <c r="H100" s="98" t="s">
        <v>228</v>
      </c>
      <c r="I100" s="88">
        <v>220000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>
        <f>SUM(J100:U100)</f>
        <v>0</v>
      </c>
      <c r="W100" s="88">
        <f>I100-V100</f>
        <v>220000</v>
      </c>
      <c r="X100" s="73"/>
    </row>
    <row r="101" spans="1:24" s="74" customFormat="1" ht="13.5" hidden="1" thickBot="1" x14ac:dyDescent="0.25">
      <c r="A101" s="66">
        <v>22</v>
      </c>
      <c r="B101" s="67">
        <v>4</v>
      </c>
      <c r="C101" s="84">
        <v>2</v>
      </c>
      <c r="D101" s="85">
        <v>2</v>
      </c>
      <c r="E101" s="85">
        <v>7</v>
      </c>
      <c r="F101" s="85">
        <v>1</v>
      </c>
      <c r="G101" s="86" t="s">
        <v>178</v>
      </c>
      <c r="H101" s="98" t="s">
        <v>229</v>
      </c>
      <c r="I101" s="88">
        <v>5000</v>
      </c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>
        <f>SUM(J101:U101)</f>
        <v>0</v>
      </c>
      <c r="W101" s="88">
        <f>I101-V101</f>
        <v>5000</v>
      </c>
      <c r="X101" s="73"/>
    </row>
    <row r="102" spans="1:24" s="74" customFormat="1" ht="13.5" hidden="1" thickBot="1" x14ac:dyDescent="0.25">
      <c r="A102" s="66">
        <v>22</v>
      </c>
      <c r="B102" s="67">
        <v>4</v>
      </c>
      <c r="C102" s="84">
        <v>2</v>
      </c>
      <c r="D102" s="85">
        <v>2</v>
      </c>
      <c r="E102" s="85">
        <v>7</v>
      </c>
      <c r="F102" s="85">
        <v>1</v>
      </c>
      <c r="G102" s="86" t="s">
        <v>230</v>
      </c>
      <c r="H102" s="98" t="s">
        <v>231</v>
      </c>
      <c r="I102" s="88">
        <v>18000</v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>
        <f>SUM(J102:U102)</f>
        <v>0</v>
      </c>
      <c r="W102" s="88">
        <f>I102-V102</f>
        <v>18000</v>
      </c>
      <c r="X102" s="73"/>
    </row>
    <row r="103" spans="1:24" s="74" customFormat="1" ht="13.5" hidden="1" thickBot="1" x14ac:dyDescent="0.25">
      <c r="A103" s="66">
        <v>22</v>
      </c>
      <c r="B103" s="67">
        <v>4</v>
      </c>
      <c r="C103" s="84">
        <v>2</v>
      </c>
      <c r="D103" s="85">
        <v>2</v>
      </c>
      <c r="E103" s="85">
        <v>7</v>
      </c>
      <c r="F103" s="85">
        <v>1</v>
      </c>
      <c r="G103" s="86" t="s">
        <v>232</v>
      </c>
      <c r="H103" s="9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>
        <f>SUM(J103:U103)</f>
        <v>0</v>
      </c>
      <c r="W103" s="88">
        <f>I103-V103</f>
        <v>0</v>
      </c>
      <c r="X103" s="73"/>
    </row>
    <row r="104" spans="1:24" s="74" customFormat="1" ht="13.5" hidden="1" thickBot="1" x14ac:dyDescent="0.25">
      <c r="A104" s="66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3"/>
    </row>
    <row r="105" spans="1:24" s="83" customFormat="1" ht="13.5" hidden="1" thickBot="1" x14ac:dyDescent="0.25">
      <c r="A105" s="66">
        <v>22</v>
      </c>
      <c r="B105" s="77">
        <v>3</v>
      </c>
      <c r="C105" s="78">
        <v>2</v>
      </c>
      <c r="D105" s="79">
        <v>2</v>
      </c>
      <c r="E105" s="79">
        <v>7</v>
      </c>
      <c r="F105" s="79">
        <v>2</v>
      </c>
      <c r="G105" s="80"/>
      <c r="H105" s="81" t="s">
        <v>233</v>
      </c>
      <c r="I105" s="82">
        <f t="shared" ref="I105:W105" si="29">SUM(I106:I109)</f>
        <v>540000</v>
      </c>
      <c r="J105" s="82">
        <f t="shared" si="29"/>
        <v>0</v>
      </c>
      <c r="K105" s="82">
        <f t="shared" si="29"/>
        <v>13091.77</v>
      </c>
      <c r="L105" s="82">
        <f t="shared" si="29"/>
        <v>133040</v>
      </c>
      <c r="M105" s="82">
        <f t="shared" si="29"/>
        <v>0</v>
      </c>
      <c r="N105" s="82">
        <f t="shared" si="29"/>
        <v>11748.74</v>
      </c>
      <c r="O105" s="82">
        <f t="shared" si="29"/>
        <v>11479.82</v>
      </c>
      <c r="P105" s="82">
        <f t="shared" si="29"/>
        <v>33377.800000000003</v>
      </c>
      <c r="Q105" s="82">
        <f t="shared" si="29"/>
        <v>8588.67</v>
      </c>
      <c r="R105" s="82">
        <f t="shared" si="29"/>
        <v>0</v>
      </c>
      <c r="S105" s="82">
        <f t="shared" si="29"/>
        <v>113026.6</v>
      </c>
      <c r="T105" s="82">
        <f t="shared" si="29"/>
        <v>166022.69</v>
      </c>
      <c r="U105" s="82">
        <v>2644.41</v>
      </c>
      <c r="V105" s="82">
        <f t="shared" si="29"/>
        <v>493020.5</v>
      </c>
      <c r="W105" s="82">
        <f t="shared" si="29"/>
        <v>46979.499999999971</v>
      </c>
      <c r="X105" s="73"/>
    </row>
    <row r="106" spans="1:24" s="74" customFormat="1" ht="13.5" hidden="1" thickBot="1" x14ac:dyDescent="0.25">
      <c r="A106" s="66">
        <v>22</v>
      </c>
      <c r="B106" s="67">
        <v>4</v>
      </c>
      <c r="C106" s="84">
        <v>2</v>
      </c>
      <c r="D106" s="85">
        <v>2</v>
      </c>
      <c r="E106" s="85">
        <v>7</v>
      </c>
      <c r="F106" s="85">
        <v>2</v>
      </c>
      <c r="G106" s="86" t="s">
        <v>154</v>
      </c>
      <c r="H106" s="98" t="s">
        <v>234</v>
      </c>
      <c r="I106" s="88">
        <v>5000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>
        <f>SUM(J106:U106)</f>
        <v>0</v>
      </c>
      <c r="W106" s="88">
        <f>I106-V106</f>
        <v>5000</v>
      </c>
      <c r="X106" s="73"/>
    </row>
    <row r="107" spans="1:24" s="74" customFormat="1" ht="13.5" hidden="1" thickBot="1" x14ac:dyDescent="0.25">
      <c r="A107" s="66">
        <v>22</v>
      </c>
      <c r="B107" s="67">
        <v>4</v>
      </c>
      <c r="C107" s="84">
        <v>2</v>
      </c>
      <c r="D107" s="85">
        <v>2</v>
      </c>
      <c r="E107" s="85">
        <v>7</v>
      </c>
      <c r="F107" s="85">
        <v>2</v>
      </c>
      <c r="G107" s="86" t="s">
        <v>158</v>
      </c>
      <c r="H107" s="98" t="s">
        <v>235</v>
      </c>
      <c r="I107" s="88">
        <v>132000</v>
      </c>
      <c r="J107" s="88"/>
      <c r="K107" s="88">
        <v>0</v>
      </c>
      <c r="L107" s="88">
        <v>11500</v>
      </c>
      <c r="M107" s="88">
        <v>0</v>
      </c>
      <c r="N107" s="88">
        <v>0</v>
      </c>
      <c r="O107" s="88">
        <v>0</v>
      </c>
      <c r="P107" s="88">
        <v>15807.87</v>
      </c>
      <c r="Q107" s="88">
        <v>0</v>
      </c>
      <c r="R107" s="88"/>
      <c r="S107" s="88">
        <v>87367.2</v>
      </c>
      <c r="T107" s="88"/>
      <c r="U107" s="88"/>
      <c r="V107" s="88">
        <f>SUM(J107:U107)</f>
        <v>114675.07</v>
      </c>
      <c r="W107" s="88">
        <f>I107-V107</f>
        <v>17324.929999999993</v>
      </c>
      <c r="X107" s="73"/>
    </row>
    <row r="108" spans="1:24" s="74" customFormat="1" ht="13.5" hidden="1" thickBot="1" x14ac:dyDescent="0.25">
      <c r="A108" s="66">
        <v>22</v>
      </c>
      <c r="B108" s="67">
        <v>4</v>
      </c>
      <c r="C108" s="84">
        <v>2</v>
      </c>
      <c r="D108" s="85">
        <v>2</v>
      </c>
      <c r="E108" s="85">
        <v>7</v>
      </c>
      <c r="F108" s="85">
        <v>2</v>
      </c>
      <c r="G108" s="86" t="s">
        <v>164</v>
      </c>
      <c r="H108" s="98" t="s">
        <v>236</v>
      </c>
      <c r="I108" s="88">
        <v>3000</v>
      </c>
      <c r="J108" s="88"/>
      <c r="K108" s="88"/>
      <c r="L108" s="88"/>
      <c r="M108" s="88"/>
      <c r="N108" s="88"/>
      <c r="O108" s="88">
        <v>0</v>
      </c>
      <c r="P108" s="88"/>
      <c r="Q108" s="88">
        <v>0</v>
      </c>
      <c r="R108" s="88"/>
      <c r="S108" s="88"/>
      <c r="T108" s="88"/>
      <c r="U108" s="88">
        <v>2644.41</v>
      </c>
      <c r="V108" s="88">
        <f>SUM(J108:U108)</f>
        <v>2644.41</v>
      </c>
      <c r="W108" s="88">
        <f>I108-V108</f>
        <v>355.59000000000015</v>
      </c>
      <c r="X108" s="73"/>
    </row>
    <row r="109" spans="1:24" s="74" customFormat="1" ht="13.5" hidden="1" thickBot="1" x14ac:dyDescent="0.25">
      <c r="A109" s="66">
        <v>22</v>
      </c>
      <c r="B109" s="67">
        <v>4</v>
      </c>
      <c r="C109" s="84">
        <v>2</v>
      </c>
      <c r="D109" s="85">
        <v>2</v>
      </c>
      <c r="E109" s="85">
        <v>7</v>
      </c>
      <c r="F109" s="85">
        <v>2</v>
      </c>
      <c r="G109" s="86" t="s">
        <v>178</v>
      </c>
      <c r="H109" s="98" t="s">
        <v>237</v>
      </c>
      <c r="I109" s="88">
        <v>400000</v>
      </c>
      <c r="J109" s="88"/>
      <c r="K109" s="88">
        <v>13091.77</v>
      </c>
      <c r="L109" s="169">
        <v>121540</v>
      </c>
      <c r="M109" s="88"/>
      <c r="N109" s="88">
        <v>11748.74</v>
      </c>
      <c r="O109" s="88">
        <v>11479.82</v>
      </c>
      <c r="P109" s="88">
        <v>17569.93</v>
      </c>
      <c r="Q109" s="88">
        <v>8588.67</v>
      </c>
      <c r="R109" s="88"/>
      <c r="S109" s="88">
        <v>25659.4</v>
      </c>
      <c r="T109" s="88">
        <v>166022.69</v>
      </c>
      <c r="U109" s="88"/>
      <c r="V109" s="88">
        <f>SUM(J109:U109)</f>
        <v>375701.02</v>
      </c>
      <c r="W109" s="88">
        <f>I109-V109</f>
        <v>24298.979999999981</v>
      </c>
      <c r="X109" s="73"/>
    </row>
    <row r="110" spans="1:24" s="83" customFormat="1" ht="13.5" hidden="1" thickBot="1" x14ac:dyDescent="0.25">
      <c r="A110" s="66">
        <v>22</v>
      </c>
      <c r="B110" s="67">
        <v>2</v>
      </c>
      <c r="C110" s="78">
        <v>2</v>
      </c>
      <c r="D110" s="79">
        <v>2</v>
      </c>
      <c r="E110" s="79">
        <v>8</v>
      </c>
      <c r="F110" s="79"/>
      <c r="G110" s="80"/>
      <c r="H110" s="81" t="s">
        <v>238</v>
      </c>
      <c r="I110" s="82">
        <f t="shared" ref="I110:W110" si="30">I111+I112+I113+I117+I120+I126</f>
        <v>2881147</v>
      </c>
      <c r="J110" s="82">
        <f t="shared" si="30"/>
        <v>0</v>
      </c>
      <c r="K110" s="82">
        <f t="shared" si="30"/>
        <v>0</v>
      </c>
      <c r="L110" s="82">
        <f t="shared" si="30"/>
        <v>0</v>
      </c>
      <c r="M110" s="82">
        <f t="shared" si="30"/>
        <v>0</v>
      </c>
      <c r="N110" s="82">
        <f t="shared" si="30"/>
        <v>0</v>
      </c>
      <c r="O110" s="82">
        <f t="shared" si="30"/>
        <v>0</v>
      </c>
      <c r="P110" s="82">
        <f t="shared" si="30"/>
        <v>0</v>
      </c>
      <c r="Q110" s="82">
        <f t="shared" si="30"/>
        <v>2813.85</v>
      </c>
      <c r="R110" s="82">
        <f t="shared" si="30"/>
        <v>47200</v>
      </c>
      <c r="S110" s="82">
        <f t="shared" si="30"/>
        <v>155292</v>
      </c>
      <c r="T110" s="82">
        <f t="shared" si="30"/>
        <v>33600</v>
      </c>
      <c r="U110" s="82">
        <v>6987.89</v>
      </c>
      <c r="V110" s="82">
        <f t="shared" si="30"/>
        <v>245893.74</v>
      </c>
      <c r="W110" s="82">
        <f t="shared" si="30"/>
        <v>2635253.2599999998</v>
      </c>
      <c r="X110" s="73"/>
    </row>
    <row r="111" spans="1:24" s="83" customFormat="1" ht="13.5" hidden="1" thickBot="1" x14ac:dyDescent="0.25">
      <c r="A111" s="66">
        <v>22</v>
      </c>
      <c r="B111" s="119">
        <v>3</v>
      </c>
      <c r="C111" s="90">
        <v>2</v>
      </c>
      <c r="D111" s="91">
        <v>2</v>
      </c>
      <c r="E111" s="91">
        <v>8</v>
      </c>
      <c r="F111" s="91">
        <v>1</v>
      </c>
      <c r="G111" s="92"/>
      <c r="H111" s="93" t="s">
        <v>239</v>
      </c>
      <c r="I111" s="88">
        <v>0</v>
      </c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>
        <f>SUM(J111:U111)</f>
        <v>0</v>
      </c>
      <c r="W111" s="88">
        <f>I111-V111</f>
        <v>0</v>
      </c>
      <c r="X111" s="73"/>
    </row>
    <row r="112" spans="1:24" s="74" customFormat="1" ht="13.5" hidden="1" thickBot="1" x14ac:dyDescent="0.25">
      <c r="A112" s="66">
        <v>22</v>
      </c>
      <c r="B112" s="120">
        <v>3</v>
      </c>
      <c r="C112" s="84">
        <v>2</v>
      </c>
      <c r="D112" s="85">
        <v>2</v>
      </c>
      <c r="E112" s="85">
        <v>8</v>
      </c>
      <c r="F112" s="85">
        <v>2</v>
      </c>
      <c r="G112" s="109"/>
      <c r="H112" s="98" t="s">
        <v>240</v>
      </c>
      <c r="I112" s="88">
        <v>12000</v>
      </c>
      <c r="J112" s="88"/>
      <c r="K112" s="88"/>
      <c r="L112" s="88"/>
      <c r="M112" s="88"/>
      <c r="N112" s="88"/>
      <c r="O112" s="88"/>
      <c r="P112" s="88"/>
      <c r="Q112" s="99">
        <v>2302.6</v>
      </c>
      <c r="R112" s="88"/>
      <c r="S112" s="88"/>
      <c r="T112" s="88"/>
      <c r="U112" s="88">
        <v>846.27</v>
      </c>
      <c r="V112" s="88">
        <f>SUM(J112:U112)</f>
        <v>3148.87</v>
      </c>
      <c r="W112" s="88">
        <f>I112-V112</f>
        <v>8851.130000000001</v>
      </c>
      <c r="X112" s="73"/>
    </row>
    <row r="113" spans="1:24" s="83" customFormat="1" ht="13.5" hidden="1" thickBot="1" x14ac:dyDescent="0.25">
      <c r="A113" s="66">
        <v>22</v>
      </c>
      <c r="B113" s="119">
        <v>3</v>
      </c>
      <c r="C113" s="78">
        <v>2</v>
      </c>
      <c r="D113" s="79">
        <v>2</v>
      </c>
      <c r="E113" s="79">
        <v>8</v>
      </c>
      <c r="F113" s="79">
        <v>5</v>
      </c>
      <c r="G113" s="80"/>
      <c r="H113" s="81" t="s">
        <v>241</v>
      </c>
      <c r="I113" s="82">
        <f t="shared" ref="I113:W113" si="31">SUM(I114:I116)</f>
        <v>19000</v>
      </c>
      <c r="J113" s="82">
        <f t="shared" si="31"/>
        <v>0</v>
      </c>
      <c r="K113" s="82">
        <f t="shared" si="31"/>
        <v>0</v>
      </c>
      <c r="L113" s="82">
        <f t="shared" si="31"/>
        <v>0</v>
      </c>
      <c r="M113" s="82">
        <f t="shared" si="31"/>
        <v>0</v>
      </c>
      <c r="N113" s="82">
        <f t="shared" si="31"/>
        <v>0</v>
      </c>
      <c r="O113" s="82">
        <f t="shared" si="31"/>
        <v>0</v>
      </c>
      <c r="P113" s="82">
        <f t="shared" si="31"/>
        <v>0</v>
      </c>
      <c r="Q113" s="82">
        <f t="shared" si="31"/>
        <v>0</v>
      </c>
      <c r="R113" s="82">
        <f t="shared" si="31"/>
        <v>0</v>
      </c>
      <c r="S113" s="82">
        <f t="shared" si="31"/>
        <v>0</v>
      </c>
      <c r="T113" s="82">
        <f t="shared" si="31"/>
        <v>10000</v>
      </c>
      <c r="U113" s="82">
        <v>0</v>
      </c>
      <c r="V113" s="82">
        <f t="shared" si="31"/>
        <v>10000</v>
      </c>
      <c r="W113" s="82">
        <f t="shared" si="31"/>
        <v>9000</v>
      </c>
      <c r="X113" s="73"/>
    </row>
    <row r="114" spans="1:24" s="74" customFormat="1" ht="13.5" hidden="1" thickBot="1" x14ac:dyDescent="0.25">
      <c r="A114" s="66">
        <v>22</v>
      </c>
      <c r="B114" s="67">
        <v>4</v>
      </c>
      <c r="C114" s="84">
        <v>2</v>
      </c>
      <c r="D114" s="85">
        <v>2</v>
      </c>
      <c r="E114" s="85">
        <v>8</v>
      </c>
      <c r="F114" s="85">
        <v>5</v>
      </c>
      <c r="G114" s="86" t="s">
        <v>154</v>
      </c>
      <c r="H114" s="98" t="s">
        <v>242</v>
      </c>
      <c r="I114" s="88">
        <v>15000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>
        <v>10000</v>
      </c>
      <c r="U114" s="88"/>
      <c r="V114" s="88">
        <f>SUM(J114:U114)</f>
        <v>10000</v>
      </c>
      <c r="W114" s="88">
        <f>I114-V114</f>
        <v>5000</v>
      </c>
      <c r="X114" s="73"/>
    </row>
    <row r="115" spans="1:24" s="74" customFormat="1" ht="13.5" hidden="1" thickBot="1" x14ac:dyDescent="0.25">
      <c r="A115" s="66">
        <v>22</v>
      </c>
      <c r="B115" s="67">
        <v>4</v>
      </c>
      <c r="C115" s="84">
        <v>2</v>
      </c>
      <c r="D115" s="85">
        <v>2</v>
      </c>
      <c r="E115" s="85">
        <v>8</v>
      </c>
      <c r="F115" s="85">
        <v>5</v>
      </c>
      <c r="G115" s="86" t="s">
        <v>158</v>
      </c>
      <c r="H115" s="98" t="s">
        <v>243</v>
      </c>
      <c r="I115" s="88">
        <v>1000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>
        <f>SUM(J115:U115)</f>
        <v>0</v>
      </c>
      <c r="W115" s="88">
        <f>I115-V115</f>
        <v>1000</v>
      </c>
      <c r="X115" s="73"/>
    </row>
    <row r="116" spans="1:24" s="74" customFormat="1" ht="13.5" hidden="1" thickBot="1" x14ac:dyDescent="0.25">
      <c r="A116" s="66">
        <v>22</v>
      </c>
      <c r="B116" s="67">
        <v>4</v>
      </c>
      <c r="C116" s="84">
        <v>2</v>
      </c>
      <c r="D116" s="85">
        <v>2</v>
      </c>
      <c r="E116" s="85">
        <v>8</v>
      </c>
      <c r="F116" s="85">
        <v>5</v>
      </c>
      <c r="G116" s="86" t="s">
        <v>160</v>
      </c>
      <c r="H116" s="98" t="s">
        <v>244</v>
      </c>
      <c r="I116" s="88">
        <v>3000</v>
      </c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>
        <f>SUM(J116:U116)</f>
        <v>0</v>
      </c>
      <c r="W116" s="88">
        <f>I116-V116</f>
        <v>3000</v>
      </c>
      <c r="X116" s="73"/>
    </row>
    <row r="117" spans="1:24" s="83" customFormat="1" ht="13.5" hidden="1" thickBot="1" x14ac:dyDescent="0.25">
      <c r="A117" s="66">
        <v>22</v>
      </c>
      <c r="B117" s="67">
        <v>3</v>
      </c>
      <c r="C117" s="78">
        <v>2</v>
      </c>
      <c r="D117" s="79">
        <v>2</v>
      </c>
      <c r="E117" s="79">
        <v>8</v>
      </c>
      <c r="F117" s="79">
        <v>6</v>
      </c>
      <c r="G117" s="80"/>
      <c r="H117" s="81" t="s">
        <v>245</v>
      </c>
      <c r="I117" s="82">
        <f t="shared" ref="I117:W117" si="32">I118+I119</f>
        <v>230000</v>
      </c>
      <c r="J117" s="82">
        <f t="shared" si="32"/>
        <v>0</v>
      </c>
      <c r="K117" s="82">
        <f t="shared" si="32"/>
        <v>0</v>
      </c>
      <c r="L117" s="82">
        <f t="shared" si="32"/>
        <v>0</v>
      </c>
      <c r="M117" s="82">
        <f t="shared" si="32"/>
        <v>0</v>
      </c>
      <c r="N117" s="82">
        <f t="shared" si="32"/>
        <v>0</v>
      </c>
      <c r="O117" s="82">
        <f t="shared" si="32"/>
        <v>0</v>
      </c>
      <c r="P117" s="82">
        <f t="shared" si="32"/>
        <v>0</v>
      </c>
      <c r="Q117" s="82">
        <f t="shared" si="32"/>
        <v>0</v>
      </c>
      <c r="R117" s="82">
        <f t="shared" si="32"/>
        <v>0</v>
      </c>
      <c r="S117" s="82">
        <f t="shared" si="32"/>
        <v>39180</v>
      </c>
      <c r="T117" s="82">
        <f t="shared" si="32"/>
        <v>0</v>
      </c>
      <c r="U117" s="82">
        <v>5500</v>
      </c>
      <c r="V117" s="82">
        <f t="shared" si="32"/>
        <v>44680</v>
      </c>
      <c r="W117" s="82">
        <f t="shared" si="32"/>
        <v>185320</v>
      </c>
      <c r="X117" s="73"/>
    </row>
    <row r="118" spans="1:24" s="122" customFormat="1" ht="13.5" hidden="1" thickBot="1" x14ac:dyDescent="0.25">
      <c r="A118" s="113">
        <v>22</v>
      </c>
      <c r="B118" s="121">
        <v>4</v>
      </c>
      <c r="C118" s="84">
        <v>2</v>
      </c>
      <c r="D118" s="85">
        <v>2</v>
      </c>
      <c r="E118" s="85">
        <v>8</v>
      </c>
      <c r="F118" s="85">
        <v>6</v>
      </c>
      <c r="G118" s="109" t="s">
        <v>154</v>
      </c>
      <c r="H118" s="98" t="s">
        <v>246</v>
      </c>
      <c r="I118" s="88">
        <v>180000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>
        <v>39180</v>
      </c>
      <c r="T118" s="88"/>
      <c r="U118" s="88">
        <v>5500</v>
      </c>
      <c r="V118" s="88">
        <f>SUM(J118:U118)</f>
        <v>44680</v>
      </c>
      <c r="W118" s="88">
        <f>I118-V118</f>
        <v>135320</v>
      </c>
      <c r="X118" s="73"/>
    </row>
    <row r="119" spans="1:24" s="122" customFormat="1" ht="13.5" hidden="1" thickBot="1" x14ac:dyDescent="0.25">
      <c r="A119" s="113">
        <v>22</v>
      </c>
      <c r="B119" s="121">
        <v>4</v>
      </c>
      <c r="C119" s="84">
        <v>2</v>
      </c>
      <c r="D119" s="85">
        <v>2</v>
      </c>
      <c r="E119" s="85">
        <v>8</v>
      </c>
      <c r="F119" s="85">
        <v>6</v>
      </c>
      <c r="G119" s="109" t="s">
        <v>158</v>
      </c>
      <c r="H119" s="98" t="s">
        <v>247</v>
      </c>
      <c r="I119" s="88">
        <v>50000</v>
      </c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>
        <f>SUM(J119:U119)</f>
        <v>0</v>
      </c>
      <c r="W119" s="88">
        <f>I119-V119</f>
        <v>50000</v>
      </c>
      <c r="X119" s="73"/>
    </row>
    <row r="120" spans="1:24" s="83" customFormat="1" ht="13.5" hidden="1" thickBot="1" x14ac:dyDescent="0.25">
      <c r="A120" s="66">
        <v>22</v>
      </c>
      <c r="B120" s="119">
        <v>3</v>
      </c>
      <c r="C120" s="78">
        <v>2</v>
      </c>
      <c r="D120" s="79">
        <v>2</v>
      </c>
      <c r="E120" s="79">
        <v>8</v>
      </c>
      <c r="F120" s="79">
        <v>7</v>
      </c>
      <c r="G120" s="80"/>
      <c r="H120" s="81" t="s">
        <v>248</v>
      </c>
      <c r="I120" s="82">
        <f t="shared" ref="I120:W120" si="33">I121+I122+I123+I124+I125</f>
        <v>2594147</v>
      </c>
      <c r="J120" s="82">
        <f t="shared" si="33"/>
        <v>0</v>
      </c>
      <c r="K120" s="82">
        <f t="shared" si="33"/>
        <v>0</v>
      </c>
      <c r="L120" s="82">
        <f t="shared" si="33"/>
        <v>0</v>
      </c>
      <c r="M120" s="82">
        <f t="shared" si="33"/>
        <v>0</v>
      </c>
      <c r="N120" s="82">
        <f t="shared" si="33"/>
        <v>0</v>
      </c>
      <c r="O120" s="82">
        <f t="shared" si="33"/>
        <v>0</v>
      </c>
      <c r="P120" s="82">
        <f t="shared" si="33"/>
        <v>0</v>
      </c>
      <c r="Q120" s="82">
        <f t="shared" si="33"/>
        <v>0</v>
      </c>
      <c r="R120" s="82">
        <f t="shared" si="33"/>
        <v>47200</v>
      </c>
      <c r="S120" s="82">
        <f t="shared" si="33"/>
        <v>116112</v>
      </c>
      <c r="T120" s="82">
        <f t="shared" si="33"/>
        <v>23600</v>
      </c>
      <c r="U120" s="82">
        <v>0</v>
      </c>
      <c r="V120" s="82">
        <f t="shared" si="33"/>
        <v>186912</v>
      </c>
      <c r="W120" s="82">
        <f t="shared" si="33"/>
        <v>2407235</v>
      </c>
      <c r="X120" s="73"/>
    </row>
    <row r="121" spans="1:24" s="74" customFormat="1" ht="13.5" hidden="1" thickBot="1" x14ac:dyDescent="0.25">
      <c r="A121" s="66">
        <v>22</v>
      </c>
      <c r="B121" s="67">
        <v>4</v>
      </c>
      <c r="C121" s="84">
        <v>2</v>
      </c>
      <c r="D121" s="85">
        <v>2</v>
      </c>
      <c r="E121" s="85">
        <v>8</v>
      </c>
      <c r="F121" s="85">
        <v>7</v>
      </c>
      <c r="G121" s="109" t="s">
        <v>154</v>
      </c>
      <c r="H121" s="98" t="s">
        <v>249</v>
      </c>
      <c r="I121" s="88">
        <v>0</v>
      </c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>
        <f>SUM(J121:U121)</f>
        <v>0</v>
      </c>
      <c r="W121" s="88">
        <f>I121-V121</f>
        <v>0</v>
      </c>
      <c r="X121" s="73"/>
    </row>
    <row r="122" spans="1:24" s="74" customFormat="1" ht="13.5" hidden="1" thickBot="1" x14ac:dyDescent="0.25">
      <c r="A122" s="66">
        <v>22</v>
      </c>
      <c r="B122" s="67">
        <v>4</v>
      </c>
      <c r="C122" s="84">
        <v>2</v>
      </c>
      <c r="D122" s="85">
        <v>2</v>
      </c>
      <c r="E122" s="85">
        <v>8</v>
      </c>
      <c r="F122" s="85">
        <v>7</v>
      </c>
      <c r="G122" s="109" t="s">
        <v>158</v>
      </c>
      <c r="H122" s="98" t="s">
        <v>250</v>
      </c>
      <c r="I122" s="88">
        <v>0</v>
      </c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>
        <f>SUM(J122:U122)</f>
        <v>0</v>
      </c>
      <c r="W122" s="88">
        <f>I122-V122</f>
        <v>0</v>
      </c>
      <c r="X122" s="73"/>
    </row>
    <row r="123" spans="1:24" s="74" customFormat="1" ht="13.5" hidden="1" thickBot="1" x14ac:dyDescent="0.25">
      <c r="A123" s="66">
        <v>22</v>
      </c>
      <c r="B123" s="67">
        <v>4</v>
      </c>
      <c r="C123" s="84">
        <v>2</v>
      </c>
      <c r="D123" s="85">
        <v>2</v>
      </c>
      <c r="E123" s="85">
        <v>8</v>
      </c>
      <c r="F123" s="85">
        <v>7</v>
      </c>
      <c r="G123" s="109" t="s">
        <v>162</v>
      </c>
      <c r="H123" s="98" t="s">
        <v>251</v>
      </c>
      <c r="I123" s="88">
        <v>1376147</v>
      </c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>
        <f>SUM(J123:U123)</f>
        <v>0</v>
      </c>
      <c r="W123" s="88">
        <f>I123-V123</f>
        <v>1376147</v>
      </c>
      <c r="X123" s="73"/>
    </row>
    <row r="124" spans="1:24" s="74" customFormat="1" ht="13.5" hidden="1" thickBot="1" x14ac:dyDescent="0.25">
      <c r="A124" s="66">
        <v>22</v>
      </c>
      <c r="B124" s="67">
        <v>4</v>
      </c>
      <c r="C124" s="84">
        <v>2</v>
      </c>
      <c r="D124" s="85">
        <v>2</v>
      </c>
      <c r="E124" s="85">
        <v>8</v>
      </c>
      <c r="F124" s="85">
        <v>7</v>
      </c>
      <c r="G124" s="109" t="s">
        <v>164</v>
      </c>
      <c r="H124" s="98" t="s">
        <v>252</v>
      </c>
      <c r="I124" s="88">
        <v>178000</v>
      </c>
      <c r="J124" s="88"/>
      <c r="K124" s="88"/>
      <c r="L124" s="88"/>
      <c r="M124" s="88"/>
      <c r="N124" s="88"/>
      <c r="O124" s="88"/>
      <c r="P124" s="88"/>
      <c r="Q124" s="88"/>
      <c r="R124" s="88">
        <v>47200</v>
      </c>
      <c r="S124" s="88">
        <v>116112</v>
      </c>
      <c r="T124" s="88">
        <f>4600+10000+9000</f>
        <v>23600</v>
      </c>
      <c r="U124" s="88"/>
      <c r="V124" s="88">
        <f>SUM(J124:U124)</f>
        <v>186912</v>
      </c>
      <c r="W124" s="88">
        <f>I124-V124</f>
        <v>-8912</v>
      </c>
      <c r="X124" s="73"/>
    </row>
    <row r="125" spans="1:24" s="74" customFormat="1" ht="13.5" hidden="1" thickBot="1" x14ac:dyDescent="0.25">
      <c r="A125" s="66">
        <v>22</v>
      </c>
      <c r="B125" s="67">
        <v>4</v>
      </c>
      <c r="C125" s="84">
        <v>2</v>
      </c>
      <c r="D125" s="85">
        <v>2</v>
      </c>
      <c r="E125" s="85">
        <v>8</v>
      </c>
      <c r="F125" s="85">
        <v>7</v>
      </c>
      <c r="G125" s="109" t="s">
        <v>178</v>
      </c>
      <c r="H125" s="98" t="s">
        <v>253</v>
      </c>
      <c r="I125" s="88">
        <v>1040000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>
        <f>SUM(J125:U125)</f>
        <v>0</v>
      </c>
      <c r="W125" s="88">
        <f>I125-V125</f>
        <v>1040000</v>
      </c>
      <c r="X125" s="73"/>
    </row>
    <row r="126" spans="1:24" s="83" customFormat="1" ht="13.5" hidden="1" thickBot="1" x14ac:dyDescent="0.25">
      <c r="A126" s="66">
        <v>22</v>
      </c>
      <c r="B126" s="119">
        <v>3</v>
      </c>
      <c r="C126" s="78">
        <v>2</v>
      </c>
      <c r="D126" s="79">
        <v>2</v>
      </c>
      <c r="E126" s="79">
        <v>8</v>
      </c>
      <c r="F126" s="79">
        <v>8</v>
      </c>
      <c r="G126" s="80"/>
      <c r="H126" s="81" t="s">
        <v>254</v>
      </c>
      <c r="I126" s="82">
        <f t="shared" ref="I126:W126" si="34">I127+I128</f>
        <v>26000</v>
      </c>
      <c r="J126" s="82">
        <f t="shared" si="34"/>
        <v>0</v>
      </c>
      <c r="K126" s="82">
        <f t="shared" si="34"/>
        <v>0</v>
      </c>
      <c r="L126" s="82">
        <f t="shared" si="34"/>
        <v>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82">
        <f t="shared" si="34"/>
        <v>511.25</v>
      </c>
      <c r="R126" s="82">
        <f t="shared" si="34"/>
        <v>0</v>
      </c>
      <c r="S126" s="82">
        <f t="shared" si="34"/>
        <v>0</v>
      </c>
      <c r="T126" s="82">
        <f t="shared" si="34"/>
        <v>0</v>
      </c>
      <c r="U126" s="82">
        <v>641.62</v>
      </c>
      <c r="V126" s="82">
        <f t="shared" si="34"/>
        <v>1152.8699999999999</v>
      </c>
      <c r="W126" s="82">
        <f t="shared" si="34"/>
        <v>24847.13</v>
      </c>
      <c r="X126" s="73"/>
    </row>
    <row r="127" spans="1:24" s="74" customFormat="1" ht="13.5" hidden="1" thickBot="1" x14ac:dyDescent="0.25">
      <c r="A127" s="66">
        <v>22</v>
      </c>
      <c r="B127" s="67">
        <v>4</v>
      </c>
      <c r="C127" s="84">
        <v>2</v>
      </c>
      <c r="D127" s="85">
        <v>2</v>
      </c>
      <c r="E127" s="85">
        <v>8</v>
      </c>
      <c r="F127" s="85">
        <v>8</v>
      </c>
      <c r="G127" s="86" t="s">
        <v>154</v>
      </c>
      <c r="H127" s="98" t="s">
        <v>255</v>
      </c>
      <c r="I127" s="88">
        <v>24000</v>
      </c>
      <c r="J127" s="88"/>
      <c r="K127" s="88"/>
      <c r="L127" s="88"/>
      <c r="M127" s="88"/>
      <c r="N127" s="88"/>
      <c r="O127" s="88"/>
      <c r="P127" s="88"/>
      <c r="Q127" s="99">
        <v>511.25</v>
      </c>
      <c r="R127" s="88"/>
      <c r="S127" s="88"/>
      <c r="T127" s="88"/>
      <c r="U127" s="88">
        <v>641.62</v>
      </c>
      <c r="V127" s="88">
        <f>SUM(J127:U127)</f>
        <v>1152.8699999999999</v>
      </c>
      <c r="W127" s="88">
        <f>I127-V127</f>
        <v>22847.13</v>
      </c>
      <c r="X127" s="73"/>
    </row>
    <row r="128" spans="1:24" s="74" customFormat="1" ht="13.5" hidden="1" thickBot="1" x14ac:dyDescent="0.25">
      <c r="A128" s="66">
        <v>22</v>
      </c>
      <c r="B128" s="67">
        <v>4</v>
      </c>
      <c r="C128" s="84">
        <v>2</v>
      </c>
      <c r="D128" s="85">
        <v>2</v>
      </c>
      <c r="E128" s="85">
        <v>8</v>
      </c>
      <c r="F128" s="85">
        <v>8</v>
      </c>
      <c r="G128" s="86" t="s">
        <v>160</v>
      </c>
      <c r="H128" s="98" t="s">
        <v>256</v>
      </c>
      <c r="I128" s="88">
        <v>2000</v>
      </c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>
        <f>SUM(J128:U128)</f>
        <v>0</v>
      </c>
      <c r="W128" s="88">
        <f>I128-V128</f>
        <v>2000</v>
      </c>
      <c r="X128" s="73"/>
    </row>
    <row r="129" spans="1:24" s="74" customFormat="1" ht="13.5" hidden="1" thickBot="1" x14ac:dyDescent="0.25">
      <c r="A129" s="66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3"/>
    </row>
    <row r="130" spans="1:24" s="83" customFormat="1" ht="13.5" hidden="1" thickBot="1" x14ac:dyDescent="0.25">
      <c r="A130" s="76">
        <v>22</v>
      </c>
      <c r="B130" s="77">
        <v>2</v>
      </c>
      <c r="C130" s="78">
        <v>2</v>
      </c>
      <c r="D130" s="79">
        <v>2</v>
      </c>
      <c r="E130" s="79">
        <v>9</v>
      </c>
      <c r="F130" s="79"/>
      <c r="G130" s="80"/>
      <c r="H130" s="81" t="s">
        <v>257</v>
      </c>
      <c r="I130" s="123">
        <f t="shared" ref="I130:W130" si="35">I131</f>
        <v>232000</v>
      </c>
      <c r="J130" s="123">
        <f t="shared" si="35"/>
        <v>0</v>
      </c>
      <c r="K130" s="123">
        <f t="shared" si="35"/>
        <v>0</v>
      </c>
      <c r="L130" s="123">
        <f t="shared" si="35"/>
        <v>6903</v>
      </c>
      <c r="M130" s="123">
        <f t="shared" si="35"/>
        <v>0</v>
      </c>
      <c r="N130" s="123">
        <f t="shared" si="35"/>
        <v>0</v>
      </c>
      <c r="O130" s="123">
        <f t="shared" si="35"/>
        <v>11741</v>
      </c>
      <c r="P130" s="123">
        <f t="shared" si="35"/>
        <v>8012.2</v>
      </c>
      <c r="Q130" s="123">
        <f t="shared" si="35"/>
        <v>0</v>
      </c>
      <c r="R130" s="123">
        <f t="shared" si="35"/>
        <v>52337.13</v>
      </c>
      <c r="S130" s="123">
        <f t="shared" si="35"/>
        <v>10171.6</v>
      </c>
      <c r="T130" s="123">
        <f t="shared" si="35"/>
        <v>0</v>
      </c>
      <c r="U130" s="123">
        <v>0</v>
      </c>
      <c r="V130" s="123">
        <f t="shared" si="35"/>
        <v>89164.930000000008</v>
      </c>
      <c r="W130" s="123">
        <f t="shared" si="35"/>
        <v>142835.07</v>
      </c>
      <c r="X130" s="73"/>
    </row>
    <row r="131" spans="1:24" s="74" customFormat="1" ht="13.5" hidden="1" thickBot="1" x14ac:dyDescent="0.25">
      <c r="A131" s="66">
        <v>22</v>
      </c>
      <c r="B131" s="67">
        <v>4</v>
      </c>
      <c r="C131" s="84">
        <v>2</v>
      </c>
      <c r="D131" s="85">
        <v>2</v>
      </c>
      <c r="E131" s="85">
        <v>9</v>
      </c>
      <c r="F131" s="85">
        <v>2</v>
      </c>
      <c r="G131" s="86" t="s">
        <v>154</v>
      </c>
      <c r="H131" s="98" t="s">
        <v>258</v>
      </c>
      <c r="I131" s="88">
        <v>232000</v>
      </c>
      <c r="J131" s="88"/>
      <c r="K131" s="88"/>
      <c r="L131" s="88">
        <v>6903</v>
      </c>
      <c r="M131" s="88">
        <v>0</v>
      </c>
      <c r="N131" s="88">
        <v>0</v>
      </c>
      <c r="O131" s="88">
        <v>11741</v>
      </c>
      <c r="P131" s="99">
        <v>8012.2</v>
      </c>
      <c r="Q131" s="88"/>
      <c r="R131" s="88">
        <v>52337.13</v>
      </c>
      <c r="S131" s="88">
        <v>10171.6</v>
      </c>
      <c r="T131" s="88"/>
      <c r="U131" s="88"/>
      <c r="V131" s="88">
        <f>SUM(J131:U131)</f>
        <v>89164.930000000008</v>
      </c>
      <c r="W131" s="88">
        <f>I131-V131</f>
        <v>142835.07</v>
      </c>
      <c r="X131" s="73"/>
    </row>
    <row r="132" spans="1:24" s="74" customFormat="1" ht="13.5" hidden="1" thickBot="1" x14ac:dyDescent="0.25">
      <c r="A132" s="66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3"/>
    </row>
    <row r="133" spans="1:24" s="74" customFormat="1" ht="13.5" thickBot="1" x14ac:dyDescent="0.25">
      <c r="A133" s="124">
        <v>23</v>
      </c>
      <c r="B133" s="67">
        <v>1</v>
      </c>
      <c r="C133" s="68">
        <v>2</v>
      </c>
      <c r="D133" s="69">
        <v>3</v>
      </c>
      <c r="E133" s="69"/>
      <c r="F133" s="69"/>
      <c r="G133" s="70"/>
      <c r="H133" s="71" t="s">
        <v>259</v>
      </c>
      <c r="I133" s="72">
        <v>11624409.5</v>
      </c>
      <c r="J133" s="72">
        <f t="shared" ref="J133:W133" si="36">J134+J142+J148+J154+J157+J162+J165+J176</f>
        <v>0</v>
      </c>
      <c r="K133" s="72">
        <f t="shared" si="36"/>
        <v>0</v>
      </c>
      <c r="L133" s="72">
        <f t="shared" si="36"/>
        <v>52392</v>
      </c>
      <c r="M133" s="72">
        <f t="shared" si="36"/>
        <v>70151.61</v>
      </c>
      <c r="N133" s="72">
        <f t="shared" si="36"/>
        <v>144275.69</v>
      </c>
      <c r="O133" s="72">
        <f t="shared" si="36"/>
        <v>280000</v>
      </c>
      <c r="P133" s="170">
        <f t="shared" si="36"/>
        <v>369401.52</v>
      </c>
      <c r="Q133" s="72">
        <f t="shared" si="36"/>
        <v>29690.37</v>
      </c>
      <c r="R133" s="72">
        <f t="shared" si="36"/>
        <v>29516</v>
      </c>
      <c r="S133" s="72">
        <f t="shared" si="36"/>
        <v>315153.09999999998</v>
      </c>
      <c r="T133" s="72">
        <f t="shared" si="36"/>
        <v>524805.19999999995</v>
      </c>
      <c r="U133" s="72">
        <f t="shared" si="36"/>
        <v>637654.63</v>
      </c>
      <c r="V133" s="72">
        <f t="shared" si="36"/>
        <v>2453040.12</v>
      </c>
      <c r="W133" s="72">
        <f t="shared" si="36"/>
        <v>9171369.379999999</v>
      </c>
      <c r="X133" s="73"/>
    </row>
    <row r="134" spans="1:24" s="74" customFormat="1" ht="13.5" hidden="1" thickBot="1" x14ac:dyDescent="0.25">
      <c r="A134" s="124">
        <v>23</v>
      </c>
      <c r="B134" s="67">
        <v>2</v>
      </c>
      <c r="C134" s="78">
        <v>2</v>
      </c>
      <c r="D134" s="79">
        <v>3</v>
      </c>
      <c r="E134" s="79">
        <v>1</v>
      </c>
      <c r="F134" s="79"/>
      <c r="G134" s="108"/>
      <c r="H134" s="125" t="s">
        <v>260</v>
      </c>
      <c r="I134" s="82">
        <f t="shared" ref="I134:W134" si="37">I135+I138</f>
        <v>7396144</v>
      </c>
      <c r="J134" s="82">
        <f t="shared" si="37"/>
        <v>0</v>
      </c>
      <c r="K134" s="82">
        <f t="shared" si="37"/>
        <v>0</v>
      </c>
      <c r="L134" s="82">
        <f t="shared" si="37"/>
        <v>0</v>
      </c>
      <c r="M134" s="82">
        <f t="shared" si="37"/>
        <v>5515.61</v>
      </c>
      <c r="N134" s="82">
        <f t="shared" si="37"/>
        <v>287.29000000000002</v>
      </c>
      <c r="O134" s="82">
        <f t="shared" si="37"/>
        <v>0</v>
      </c>
      <c r="P134" s="82">
        <f t="shared" si="37"/>
        <v>0</v>
      </c>
      <c r="Q134" s="82">
        <f t="shared" si="37"/>
        <v>17033.5</v>
      </c>
      <c r="R134" s="82">
        <f t="shared" si="37"/>
        <v>13999</v>
      </c>
      <c r="S134" s="82">
        <f t="shared" si="37"/>
        <v>8085.27</v>
      </c>
      <c r="T134" s="82">
        <f t="shared" si="37"/>
        <v>11948</v>
      </c>
      <c r="U134" s="82">
        <v>8972.5</v>
      </c>
      <c r="V134" s="82">
        <f t="shared" si="37"/>
        <v>65841.17</v>
      </c>
      <c r="W134" s="82">
        <f t="shared" si="37"/>
        <v>7330302.8300000001</v>
      </c>
      <c r="X134" s="73"/>
    </row>
    <row r="135" spans="1:24" s="83" customFormat="1" ht="13.5" hidden="1" thickBot="1" x14ac:dyDescent="0.25">
      <c r="A135" s="124">
        <v>23</v>
      </c>
      <c r="B135" s="119">
        <v>3</v>
      </c>
      <c r="C135" s="78">
        <v>2</v>
      </c>
      <c r="D135" s="79">
        <v>3</v>
      </c>
      <c r="E135" s="79">
        <v>1</v>
      </c>
      <c r="F135" s="79">
        <v>1</v>
      </c>
      <c r="G135" s="80"/>
      <c r="H135" s="81" t="s">
        <v>261</v>
      </c>
      <c r="I135" s="82">
        <f t="shared" ref="I135:W135" si="38">I136</f>
        <v>1461144</v>
      </c>
      <c r="J135" s="82">
        <f t="shared" si="38"/>
        <v>0</v>
      </c>
      <c r="K135" s="82">
        <f t="shared" si="38"/>
        <v>0</v>
      </c>
      <c r="L135" s="82">
        <f t="shared" si="38"/>
        <v>0</v>
      </c>
      <c r="M135" s="82">
        <f t="shared" si="38"/>
        <v>5515.61</v>
      </c>
      <c r="N135" s="82">
        <f t="shared" si="38"/>
        <v>287.29000000000002</v>
      </c>
      <c r="O135" s="82">
        <f t="shared" si="38"/>
        <v>0</v>
      </c>
      <c r="P135" s="82">
        <f t="shared" si="38"/>
        <v>0</v>
      </c>
      <c r="Q135" s="82">
        <f t="shared" si="38"/>
        <v>15761.45</v>
      </c>
      <c r="R135" s="82">
        <f t="shared" si="38"/>
        <v>0</v>
      </c>
      <c r="S135" s="82">
        <f t="shared" si="38"/>
        <v>8085.27</v>
      </c>
      <c r="T135" s="82">
        <f t="shared" si="38"/>
        <v>11948</v>
      </c>
      <c r="U135" s="82">
        <v>2605.5</v>
      </c>
      <c r="V135" s="82">
        <f t="shared" si="38"/>
        <v>44203.119999999995</v>
      </c>
      <c r="W135" s="82">
        <f t="shared" si="38"/>
        <v>1416940.88</v>
      </c>
      <c r="X135" s="73"/>
    </row>
    <row r="136" spans="1:24" s="74" customFormat="1" ht="13.5" hidden="1" thickBot="1" x14ac:dyDescent="0.25">
      <c r="A136" s="124">
        <v>23</v>
      </c>
      <c r="B136" s="67">
        <v>4</v>
      </c>
      <c r="C136" s="84">
        <v>2</v>
      </c>
      <c r="D136" s="85">
        <v>3</v>
      </c>
      <c r="E136" s="85">
        <v>1</v>
      </c>
      <c r="F136" s="85">
        <v>1</v>
      </c>
      <c r="G136" s="86" t="s">
        <v>154</v>
      </c>
      <c r="H136" s="98" t="s">
        <v>261</v>
      </c>
      <c r="I136" s="88">
        <v>1461144</v>
      </c>
      <c r="J136" s="88"/>
      <c r="K136" s="88"/>
      <c r="L136" s="88"/>
      <c r="M136" s="99">
        <v>5515.61</v>
      </c>
      <c r="N136" s="99">
        <v>287.29000000000002</v>
      </c>
      <c r="O136" s="88"/>
      <c r="P136" s="88"/>
      <c r="Q136" s="99">
        <v>15761.45</v>
      </c>
      <c r="R136" s="88"/>
      <c r="S136" s="88">
        <v>8085.27</v>
      </c>
      <c r="T136" s="88">
        <v>11948</v>
      </c>
      <c r="U136" s="88">
        <v>2605.5</v>
      </c>
      <c r="V136" s="88">
        <f>SUM(J136:U136)</f>
        <v>44203.119999999995</v>
      </c>
      <c r="W136" s="88">
        <f>I136-V136</f>
        <v>1416940.88</v>
      </c>
      <c r="X136" s="73"/>
    </row>
    <row r="137" spans="1:24" s="74" customFormat="1" ht="13.5" hidden="1" thickBot="1" x14ac:dyDescent="0.25">
      <c r="A137" s="124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3"/>
    </row>
    <row r="138" spans="1:24" s="83" customFormat="1" ht="13.5" hidden="1" thickBot="1" x14ac:dyDescent="0.25">
      <c r="A138" s="66">
        <v>23</v>
      </c>
      <c r="B138" s="119">
        <v>3</v>
      </c>
      <c r="C138" s="78">
        <v>2</v>
      </c>
      <c r="D138" s="79">
        <v>3</v>
      </c>
      <c r="E138" s="79">
        <v>1</v>
      </c>
      <c r="F138" s="79">
        <v>3</v>
      </c>
      <c r="G138" s="80"/>
      <c r="H138" s="81" t="s">
        <v>262</v>
      </c>
      <c r="I138" s="82">
        <f t="shared" ref="I138:W138" si="39">SUM(I139:I140)</f>
        <v>5935000</v>
      </c>
      <c r="J138" s="82">
        <f t="shared" si="39"/>
        <v>0</v>
      </c>
      <c r="K138" s="82">
        <f t="shared" si="39"/>
        <v>0</v>
      </c>
      <c r="L138" s="82">
        <f t="shared" si="39"/>
        <v>0</v>
      </c>
      <c r="M138" s="82">
        <f t="shared" si="39"/>
        <v>0</v>
      </c>
      <c r="N138" s="82">
        <f t="shared" si="39"/>
        <v>0</v>
      </c>
      <c r="O138" s="82">
        <f t="shared" si="39"/>
        <v>0</v>
      </c>
      <c r="P138" s="82">
        <f t="shared" si="39"/>
        <v>0</v>
      </c>
      <c r="Q138" s="82">
        <f t="shared" si="39"/>
        <v>1272.05</v>
      </c>
      <c r="R138" s="82">
        <f t="shared" si="39"/>
        <v>13999</v>
      </c>
      <c r="S138" s="82">
        <f t="shared" si="39"/>
        <v>0</v>
      </c>
      <c r="T138" s="82">
        <f t="shared" si="39"/>
        <v>0</v>
      </c>
      <c r="U138" s="82">
        <v>6367</v>
      </c>
      <c r="V138" s="82">
        <f t="shared" si="39"/>
        <v>21638.05</v>
      </c>
      <c r="W138" s="82">
        <f t="shared" si="39"/>
        <v>5913361.9500000002</v>
      </c>
      <c r="X138" s="73"/>
    </row>
    <row r="139" spans="1:24" s="122" customFormat="1" ht="13.5" hidden="1" thickBot="1" x14ac:dyDescent="0.25">
      <c r="A139" s="113">
        <v>23</v>
      </c>
      <c r="B139" s="121">
        <v>4</v>
      </c>
      <c r="C139" s="126">
        <v>2</v>
      </c>
      <c r="D139" s="127">
        <v>3</v>
      </c>
      <c r="E139" s="127">
        <v>1</v>
      </c>
      <c r="F139" s="127">
        <v>3</v>
      </c>
      <c r="G139" s="128" t="s">
        <v>158</v>
      </c>
      <c r="H139" s="93" t="s">
        <v>263</v>
      </c>
      <c r="I139" s="88">
        <v>5835000</v>
      </c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>
        <f>SUM(J139:U139)</f>
        <v>0</v>
      </c>
      <c r="W139" s="88">
        <f>I139-V139</f>
        <v>5835000</v>
      </c>
      <c r="X139" s="73"/>
    </row>
    <row r="140" spans="1:24" s="122" customFormat="1" ht="13.5" hidden="1" thickBot="1" x14ac:dyDescent="0.25">
      <c r="A140" s="113">
        <v>23</v>
      </c>
      <c r="B140" s="121">
        <v>4</v>
      </c>
      <c r="C140" s="126">
        <v>2</v>
      </c>
      <c r="D140" s="127">
        <v>3</v>
      </c>
      <c r="E140" s="127" t="s">
        <v>264</v>
      </c>
      <c r="F140" s="127">
        <v>3</v>
      </c>
      <c r="G140" s="128" t="s">
        <v>160</v>
      </c>
      <c r="H140" s="93" t="s">
        <v>265</v>
      </c>
      <c r="I140" s="88">
        <v>100000</v>
      </c>
      <c r="J140" s="88"/>
      <c r="K140" s="88"/>
      <c r="L140" s="88"/>
      <c r="M140" s="88"/>
      <c r="N140" s="88"/>
      <c r="O140" s="88"/>
      <c r="P140" s="88"/>
      <c r="Q140" s="99">
        <v>1272.05</v>
      </c>
      <c r="R140" s="88">
        <v>13999</v>
      </c>
      <c r="S140" s="88"/>
      <c r="T140" s="88"/>
      <c r="U140" s="88">
        <v>6367</v>
      </c>
      <c r="V140" s="88">
        <f>SUM(J140:U140)</f>
        <v>21638.05</v>
      </c>
      <c r="W140" s="88">
        <f>I140-V140</f>
        <v>78361.95</v>
      </c>
      <c r="X140" s="73"/>
    </row>
    <row r="141" spans="1:24" s="74" customFormat="1" ht="13.5" hidden="1" thickBot="1" x14ac:dyDescent="0.25">
      <c r="A141" s="66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3"/>
    </row>
    <row r="142" spans="1:24" s="74" customFormat="1" ht="13.5" hidden="1" thickBot="1" x14ac:dyDescent="0.25">
      <c r="A142" s="66">
        <v>23</v>
      </c>
      <c r="B142" s="67">
        <v>2</v>
      </c>
      <c r="C142" s="78">
        <v>2</v>
      </c>
      <c r="D142" s="79">
        <v>3</v>
      </c>
      <c r="E142" s="79">
        <v>2</v>
      </c>
      <c r="F142" s="79"/>
      <c r="G142" s="108"/>
      <c r="H142" s="125" t="s">
        <v>266</v>
      </c>
      <c r="I142" s="82">
        <f t="shared" ref="I142:W142" si="40">SUM(I143:I146)</f>
        <v>493000</v>
      </c>
      <c r="J142" s="82">
        <f t="shared" si="40"/>
        <v>0</v>
      </c>
      <c r="K142" s="82">
        <f t="shared" si="40"/>
        <v>0</v>
      </c>
      <c r="L142" s="82">
        <f t="shared" si="40"/>
        <v>0</v>
      </c>
      <c r="M142" s="82">
        <f t="shared" si="40"/>
        <v>0</v>
      </c>
      <c r="N142" s="82">
        <f t="shared" si="40"/>
        <v>0</v>
      </c>
      <c r="O142" s="82">
        <f t="shared" si="40"/>
        <v>0</v>
      </c>
      <c r="P142" s="82">
        <f t="shared" si="40"/>
        <v>0</v>
      </c>
      <c r="Q142" s="82">
        <f t="shared" si="40"/>
        <v>0</v>
      </c>
      <c r="R142" s="82">
        <f t="shared" si="40"/>
        <v>0</v>
      </c>
      <c r="S142" s="82">
        <f t="shared" si="40"/>
        <v>0</v>
      </c>
      <c r="T142" s="82">
        <f t="shared" si="40"/>
        <v>0</v>
      </c>
      <c r="U142" s="82">
        <v>0</v>
      </c>
      <c r="V142" s="82">
        <f t="shared" si="40"/>
        <v>0</v>
      </c>
      <c r="W142" s="82">
        <f t="shared" si="40"/>
        <v>493000</v>
      </c>
      <c r="X142" s="73"/>
    </row>
    <row r="143" spans="1:24" s="122" customFormat="1" ht="13.5" hidden="1" thickBot="1" x14ac:dyDescent="0.25">
      <c r="A143" s="113">
        <v>23</v>
      </c>
      <c r="B143" s="121">
        <v>3</v>
      </c>
      <c r="C143" s="126">
        <v>2</v>
      </c>
      <c r="D143" s="127">
        <v>3</v>
      </c>
      <c r="E143" s="127">
        <v>2</v>
      </c>
      <c r="F143" s="127">
        <v>1</v>
      </c>
      <c r="G143" s="128"/>
      <c r="H143" s="93"/>
      <c r="I143" s="88">
        <v>25000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>
        <f>SUM(J143:U143)</f>
        <v>0</v>
      </c>
      <c r="W143" s="88">
        <f>I143-V143</f>
        <v>25000</v>
      </c>
      <c r="X143" s="73"/>
    </row>
    <row r="144" spans="1:24" s="122" customFormat="1" ht="13.5" hidden="1" thickBot="1" x14ac:dyDescent="0.25">
      <c r="A144" s="113">
        <v>23</v>
      </c>
      <c r="B144" s="121">
        <v>4</v>
      </c>
      <c r="C144" s="126">
        <v>2</v>
      </c>
      <c r="D144" s="127">
        <v>3</v>
      </c>
      <c r="E144" s="127">
        <v>2</v>
      </c>
      <c r="F144" s="127">
        <v>2</v>
      </c>
      <c r="G144" s="128" t="s">
        <v>154</v>
      </c>
      <c r="H144" s="93" t="s">
        <v>267</v>
      </c>
      <c r="I144" s="88">
        <v>0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>
        <f>SUM(J144:U144)</f>
        <v>0</v>
      </c>
      <c r="W144" s="88">
        <f>I144-V144</f>
        <v>0</v>
      </c>
      <c r="X144" s="73"/>
    </row>
    <row r="145" spans="1:24" s="114" customFormat="1" ht="13.5" hidden="1" thickBot="1" x14ac:dyDescent="0.25">
      <c r="A145" s="113">
        <v>23</v>
      </c>
      <c r="B145" s="129">
        <v>3</v>
      </c>
      <c r="C145" s="130">
        <v>2</v>
      </c>
      <c r="D145" s="131">
        <v>3</v>
      </c>
      <c r="E145" s="131">
        <v>2</v>
      </c>
      <c r="F145" s="131">
        <v>3</v>
      </c>
      <c r="G145" s="132"/>
      <c r="H145" s="93" t="s">
        <v>268</v>
      </c>
      <c r="I145" s="88">
        <v>450000</v>
      </c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>
        <f>SUM(J145:U145)</f>
        <v>0</v>
      </c>
      <c r="W145" s="88">
        <f>I145-V145</f>
        <v>450000</v>
      </c>
      <c r="X145" s="73"/>
    </row>
    <row r="146" spans="1:24" s="114" customFormat="1" ht="13.5" hidden="1" thickBot="1" x14ac:dyDescent="0.25">
      <c r="A146" s="113">
        <v>23</v>
      </c>
      <c r="B146" s="129">
        <v>3</v>
      </c>
      <c r="C146" s="130"/>
      <c r="D146" s="131"/>
      <c r="E146" s="131">
        <v>2</v>
      </c>
      <c r="F146" s="131">
        <v>4</v>
      </c>
      <c r="G146" s="132"/>
      <c r="H146" s="93" t="s">
        <v>269</v>
      </c>
      <c r="I146" s="88">
        <v>18000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>
        <f>SUM(J146:U146)</f>
        <v>0</v>
      </c>
      <c r="W146" s="88">
        <f>I146-V146</f>
        <v>18000</v>
      </c>
      <c r="X146" s="73"/>
    </row>
    <row r="147" spans="1:24" s="74" customFormat="1" ht="13.5" hidden="1" thickBot="1" x14ac:dyDescent="0.25">
      <c r="A147" s="66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3"/>
    </row>
    <row r="148" spans="1:24" s="74" customFormat="1" ht="13.5" hidden="1" thickBot="1" x14ac:dyDescent="0.25">
      <c r="A148" s="66">
        <v>23</v>
      </c>
      <c r="B148" s="67">
        <v>2</v>
      </c>
      <c r="C148" s="78">
        <v>2</v>
      </c>
      <c r="D148" s="79">
        <v>3</v>
      </c>
      <c r="E148" s="79">
        <v>3</v>
      </c>
      <c r="F148" s="79"/>
      <c r="G148" s="108"/>
      <c r="H148" s="125" t="s">
        <v>270</v>
      </c>
      <c r="I148" s="82">
        <f t="shared" ref="I148:W148" si="41">SUM(I149:I152)</f>
        <v>195000</v>
      </c>
      <c r="J148" s="82">
        <f t="shared" si="41"/>
        <v>0</v>
      </c>
      <c r="K148" s="82">
        <f t="shared" si="41"/>
        <v>0</v>
      </c>
      <c r="L148" s="82">
        <f t="shared" si="41"/>
        <v>49560</v>
      </c>
      <c r="M148" s="82">
        <f t="shared" si="41"/>
        <v>0</v>
      </c>
      <c r="N148" s="82">
        <f t="shared" si="41"/>
        <v>0</v>
      </c>
      <c r="O148" s="82">
        <f t="shared" si="41"/>
        <v>0</v>
      </c>
      <c r="P148" s="82">
        <f t="shared" si="41"/>
        <v>0</v>
      </c>
      <c r="Q148" s="82">
        <f t="shared" si="41"/>
        <v>2005.75</v>
      </c>
      <c r="R148" s="82">
        <f t="shared" si="41"/>
        <v>0</v>
      </c>
      <c r="S148" s="82">
        <f t="shared" si="41"/>
        <v>53569.88</v>
      </c>
      <c r="T148" s="82">
        <f t="shared" si="41"/>
        <v>28261</v>
      </c>
      <c r="U148" s="82">
        <v>60524.57</v>
      </c>
      <c r="V148" s="82">
        <f t="shared" si="41"/>
        <v>193921.2</v>
      </c>
      <c r="W148" s="82">
        <f t="shared" si="41"/>
        <v>1078.8000000000029</v>
      </c>
      <c r="X148" s="73"/>
    </row>
    <row r="149" spans="1:24" s="83" customFormat="1" ht="13.5" hidden="1" thickBot="1" x14ac:dyDescent="0.25">
      <c r="A149" s="66">
        <v>23</v>
      </c>
      <c r="B149" s="119">
        <v>3</v>
      </c>
      <c r="C149" s="90">
        <v>2</v>
      </c>
      <c r="D149" s="91">
        <v>3</v>
      </c>
      <c r="E149" s="91">
        <v>3</v>
      </c>
      <c r="F149" s="91">
        <v>1</v>
      </c>
      <c r="G149" s="92"/>
      <c r="H149" s="93" t="s">
        <v>271</v>
      </c>
      <c r="I149" s="88">
        <v>50000</v>
      </c>
      <c r="J149" s="88"/>
      <c r="K149" s="88"/>
      <c r="L149" s="88"/>
      <c r="M149" s="88"/>
      <c r="N149" s="88"/>
      <c r="O149" s="88"/>
      <c r="P149" s="88"/>
      <c r="Q149" s="88"/>
      <c r="R149" s="88"/>
      <c r="S149" s="88">
        <v>14308.68</v>
      </c>
      <c r="T149" s="88"/>
      <c r="U149" s="88">
        <v>7365.57</v>
      </c>
      <c r="V149" s="88">
        <f>SUM(J149:U149)</f>
        <v>21674.25</v>
      </c>
      <c r="W149" s="88">
        <f>I149-V149</f>
        <v>28325.75</v>
      </c>
      <c r="X149" s="73"/>
    </row>
    <row r="150" spans="1:24" s="83" customFormat="1" ht="13.5" hidden="1" thickBot="1" x14ac:dyDescent="0.25">
      <c r="A150" s="66">
        <v>23</v>
      </c>
      <c r="B150" s="119">
        <v>3</v>
      </c>
      <c r="C150" s="90">
        <v>2</v>
      </c>
      <c r="D150" s="91">
        <v>3</v>
      </c>
      <c r="E150" s="91">
        <v>3</v>
      </c>
      <c r="F150" s="91">
        <v>2</v>
      </c>
      <c r="G150" s="92"/>
      <c r="H150" s="93" t="s">
        <v>272</v>
      </c>
      <c r="I150" s="88">
        <v>75000</v>
      </c>
      <c r="J150" s="88"/>
      <c r="K150" s="88"/>
      <c r="L150" s="88">
        <v>32450</v>
      </c>
      <c r="M150" s="88"/>
      <c r="N150" s="88"/>
      <c r="O150" s="88"/>
      <c r="P150" s="88"/>
      <c r="Q150" s="99">
        <v>2005.75</v>
      </c>
      <c r="R150" s="88"/>
      <c r="S150" s="88">
        <v>39261.199999999997</v>
      </c>
      <c r="T150" s="88"/>
      <c r="U150" s="88"/>
      <c r="V150" s="88">
        <f>SUM(J150:U150)</f>
        <v>73716.95</v>
      </c>
      <c r="W150" s="88">
        <f>I150-V150</f>
        <v>1283.0500000000029</v>
      </c>
      <c r="X150" s="73"/>
    </row>
    <row r="151" spans="1:24" s="114" customFormat="1" ht="13.5" hidden="1" thickBot="1" x14ac:dyDescent="0.25">
      <c r="A151" s="113">
        <v>23</v>
      </c>
      <c r="B151" s="129">
        <v>3</v>
      </c>
      <c r="C151" s="130">
        <v>2</v>
      </c>
      <c r="D151" s="131">
        <v>3</v>
      </c>
      <c r="E151" s="131">
        <v>3</v>
      </c>
      <c r="F151" s="131">
        <v>3</v>
      </c>
      <c r="G151" s="132"/>
      <c r="H151" s="93" t="s">
        <v>273</v>
      </c>
      <c r="I151" s="88">
        <v>55000</v>
      </c>
      <c r="J151" s="88"/>
      <c r="K151" s="88"/>
      <c r="L151" s="88">
        <v>17110</v>
      </c>
      <c r="M151" s="88"/>
      <c r="N151" s="88"/>
      <c r="O151" s="88"/>
      <c r="P151" s="88"/>
      <c r="Q151" s="88"/>
      <c r="R151" s="88"/>
      <c r="S151" s="88"/>
      <c r="T151" s="88">
        <v>28261</v>
      </c>
      <c r="U151" s="88">
        <v>53159</v>
      </c>
      <c r="V151" s="88">
        <f>SUM(J151:U151)</f>
        <v>98530</v>
      </c>
      <c r="W151" s="88">
        <f>I151-V151</f>
        <v>-43530</v>
      </c>
      <c r="X151" s="73"/>
    </row>
    <row r="152" spans="1:24" s="114" customFormat="1" ht="13.5" hidden="1" thickBot="1" x14ac:dyDescent="0.25">
      <c r="A152" s="113">
        <v>23</v>
      </c>
      <c r="B152" s="129">
        <v>3</v>
      </c>
      <c r="C152" s="130">
        <v>2</v>
      </c>
      <c r="D152" s="131">
        <v>3</v>
      </c>
      <c r="E152" s="131">
        <v>3</v>
      </c>
      <c r="F152" s="131">
        <v>4</v>
      </c>
      <c r="G152" s="132"/>
      <c r="H152" s="93" t="s">
        <v>274</v>
      </c>
      <c r="I152" s="88">
        <v>15000</v>
      </c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>
        <f>SUM(J152:U152)</f>
        <v>0</v>
      </c>
      <c r="W152" s="88">
        <f>I152-V152</f>
        <v>15000</v>
      </c>
      <c r="X152" s="73"/>
    </row>
    <row r="153" spans="1:24" s="74" customFormat="1" ht="13.5" hidden="1" thickBot="1" x14ac:dyDescent="0.25">
      <c r="A153" s="66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3"/>
    </row>
    <row r="154" spans="1:24" s="74" customFormat="1" ht="13.5" hidden="1" thickBot="1" x14ac:dyDescent="0.25">
      <c r="A154" s="66">
        <v>23</v>
      </c>
      <c r="B154" s="67">
        <v>2</v>
      </c>
      <c r="C154" s="78">
        <v>2</v>
      </c>
      <c r="D154" s="79">
        <v>3</v>
      </c>
      <c r="E154" s="79">
        <v>4</v>
      </c>
      <c r="F154" s="79"/>
      <c r="G154" s="108"/>
      <c r="H154" s="125" t="s">
        <v>275</v>
      </c>
      <c r="I154" s="82">
        <f t="shared" ref="I154:W154" si="42">+I155</f>
        <v>8000</v>
      </c>
      <c r="J154" s="82">
        <f t="shared" si="42"/>
        <v>0</v>
      </c>
      <c r="K154" s="82">
        <f t="shared" si="42"/>
        <v>0</v>
      </c>
      <c r="L154" s="82">
        <f t="shared" si="42"/>
        <v>0</v>
      </c>
      <c r="M154" s="82">
        <f t="shared" si="42"/>
        <v>0</v>
      </c>
      <c r="N154" s="82">
        <f t="shared" si="42"/>
        <v>0</v>
      </c>
      <c r="O154" s="82">
        <f t="shared" si="42"/>
        <v>0</v>
      </c>
      <c r="P154" s="82">
        <f t="shared" si="42"/>
        <v>0</v>
      </c>
      <c r="Q154" s="82">
        <f t="shared" si="42"/>
        <v>0</v>
      </c>
      <c r="R154" s="82">
        <f t="shared" si="42"/>
        <v>0</v>
      </c>
      <c r="S154" s="82">
        <f t="shared" si="42"/>
        <v>0</v>
      </c>
      <c r="T154" s="82">
        <f t="shared" si="42"/>
        <v>0</v>
      </c>
      <c r="U154" s="82">
        <v>0</v>
      </c>
      <c r="V154" s="82">
        <f t="shared" si="42"/>
        <v>0</v>
      </c>
      <c r="W154" s="82">
        <f t="shared" si="42"/>
        <v>8000</v>
      </c>
      <c r="X154" s="73"/>
    </row>
    <row r="155" spans="1:24" s="83" customFormat="1" ht="13.5" hidden="1" thickBot="1" x14ac:dyDescent="0.25">
      <c r="A155" s="66">
        <v>23</v>
      </c>
      <c r="B155" s="119">
        <v>3</v>
      </c>
      <c r="C155" s="90">
        <v>2</v>
      </c>
      <c r="D155" s="91">
        <v>3</v>
      </c>
      <c r="E155" s="91">
        <v>4</v>
      </c>
      <c r="F155" s="91">
        <v>1</v>
      </c>
      <c r="G155" s="92"/>
      <c r="H155" s="93" t="s">
        <v>276</v>
      </c>
      <c r="I155" s="88">
        <v>8000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>
        <f>SUM(J155:U155)</f>
        <v>0</v>
      </c>
      <c r="W155" s="88">
        <f>I155-V155</f>
        <v>8000</v>
      </c>
      <c r="X155" s="73"/>
    </row>
    <row r="156" spans="1:24" s="74" customFormat="1" ht="13.5" hidden="1" thickBot="1" x14ac:dyDescent="0.25">
      <c r="A156" s="66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3"/>
    </row>
    <row r="157" spans="1:24" s="74" customFormat="1" ht="22.5" hidden="1" thickBot="1" x14ac:dyDescent="0.25">
      <c r="A157" s="66">
        <v>23</v>
      </c>
      <c r="B157" s="67">
        <v>2</v>
      </c>
      <c r="C157" s="78">
        <v>2</v>
      </c>
      <c r="D157" s="79">
        <v>3</v>
      </c>
      <c r="E157" s="79">
        <v>5</v>
      </c>
      <c r="F157" s="79"/>
      <c r="G157" s="108"/>
      <c r="H157" s="125" t="s">
        <v>277</v>
      </c>
      <c r="I157" s="82">
        <f t="shared" ref="I157:W157" si="43">SUM(I158:I160)</f>
        <v>238000</v>
      </c>
      <c r="J157" s="82">
        <f t="shared" si="43"/>
        <v>0</v>
      </c>
      <c r="K157" s="82">
        <f t="shared" si="43"/>
        <v>0</v>
      </c>
      <c r="L157" s="82">
        <f t="shared" si="43"/>
        <v>0</v>
      </c>
      <c r="M157" s="82">
        <f t="shared" si="43"/>
        <v>58500</v>
      </c>
      <c r="N157" s="82">
        <f t="shared" si="43"/>
        <v>0</v>
      </c>
      <c r="O157" s="82">
        <f t="shared" si="43"/>
        <v>0</v>
      </c>
      <c r="P157" s="82">
        <f t="shared" si="43"/>
        <v>0</v>
      </c>
      <c r="Q157" s="82">
        <f t="shared" si="43"/>
        <v>0</v>
      </c>
      <c r="R157" s="82">
        <f t="shared" si="43"/>
        <v>0</v>
      </c>
      <c r="S157" s="82">
        <f t="shared" si="43"/>
        <v>260.77999999999997</v>
      </c>
      <c r="T157" s="82">
        <f t="shared" si="43"/>
        <v>0</v>
      </c>
      <c r="U157" s="82">
        <v>83662.38</v>
      </c>
      <c r="V157" s="82">
        <f t="shared" si="43"/>
        <v>142423.16</v>
      </c>
      <c r="W157" s="82">
        <f t="shared" si="43"/>
        <v>95576.84</v>
      </c>
      <c r="X157" s="73"/>
    </row>
    <row r="158" spans="1:24" s="83" customFormat="1" ht="13.5" hidden="1" thickBot="1" x14ac:dyDescent="0.25">
      <c r="A158" s="66">
        <v>23</v>
      </c>
      <c r="B158" s="119">
        <v>3</v>
      </c>
      <c r="C158" s="90">
        <v>2</v>
      </c>
      <c r="D158" s="91">
        <v>3</v>
      </c>
      <c r="E158" s="91">
        <v>5</v>
      </c>
      <c r="F158" s="91">
        <v>3</v>
      </c>
      <c r="G158" s="92"/>
      <c r="H158" s="93" t="s">
        <v>278</v>
      </c>
      <c r="I158" s="88">
        <v>208000</v>
      </c>
      <c r="J158" s="88"/>
      <c r="K158" s="88"/>
      <c r="L158" s="88"/>
      <c r="M158" s="88">
        <v>58500</v>
      </c>
      <c r="N158" s="88"/>
      <c r="O158" s="88"/>
      <c r="P158" s="88"/>
      <c r="Q158" s="88"/>
      <c r="R158" s="88"/>
      <c r="S158" s="88"/>
      <c r="T158" s="88"/>
      <c r="U158" s="88">
        <v>83662.38</v>
      </c>
      <c r="V158" s="88">
        <f>SUM(J158:U158)</f>
        <v>142162.38</v>
      </c>
      <c r="W158" s="88">
        <f>I158-V158</f>
        <v>65837.62</v>
      </c>
      <c r="X158" s="73"/>
    </row>
    <row r="159" spans="1:24" s="83" customFormat="1" ht="13.5" hidden="1" thickBot="1" x14ac:dyDescent="0.25">
      <c r="A159" s="66">
        <v>23</v>
      </c>
      <c r="B159" s="119">
        <v>3</v>
      </c>
      <c r="C159" s="90">
        <v>2</v>
      </c>
      <c r="D159" s="91">
        <v>3</v>
      </c>
      <c r="E159" s="91">
        <v>5</v>
      </c>
      <c r="F159" s="91">
        <v>4</v>
      </c>
      <c r="G159" s="92"/>
      <c r="H159" s="93" t="s">
        <v>279</v>
      </c>
      <c r="I159" s="88">
        <v>10000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>
        <f>SUM(J159:U159)</f>
        <v>0</v>
      </c>
      <c r="W159" s="88">
        <f>I159-V159</f>
        <v>10000</v>
      </c>
      <c r="X159" s="73"/>
    </row>
    <row r="160" spans="1:24" s="83" customFormat="1" ht="13.5" hidden="1" thickBot="1" x14ac:dyDescent="0.25">
      <c r="A160" s="66">
        <v>23</v>
      </c>
      <c r="B160" s="119">
        <v>3</v>
      </c>
      <c r="C160" s="90">
        <v>2</v>
      </c>
      <c r="D160" s="91">
        <v>3</v>
      </c>
      <c r="E160" s="91">
        <v>5</v>
      </c>
      <c r="F160" s="91">
        <v>5</v>
      </c>
      <c r="G160" s="92"/>
      <c r="H160" s="93" t="s">
        <v>280</v>
      </c>
      <c r="I160" s="88">
        <v>20000</v>
      </c>
      <c r="J160" s="88"/>
      <c r="K160" s="88"/>
      <c r="L160" s="88"/>
      <c r="M160" s="88"/>
      <c r="N160" s="88"/>
      <c r="O160" s="88"/>
      <c r="P160" s="88"/>
      <c r="Q160" s="88"/>
      <c r="R160" s="88"/>
      <c r="S160" s="88">
        <v>260.77999999999997</v>
      </c>
      <c r="T160" s="88"/>
      <c r="U160" s="88"/>
      <c r="V160" s="88">
        <f>SUM(J160:U160)</f>
        <v>260.77999999999997</v>
      </c>
      <c r="W160" s="88">
        <f>I160-V160</f>
        <v>19739.22</v>
      </c>
      <c r="X160" s="73"/>
    </row>
    <row r="161" spans="1:24" s="74" customFormat="1" ht="13.5" hidden="1" thickBot="1" x14ac:dyDescent="0.25">
      <c r="A161" s="66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3"/>
    </row>
    <row r="162" spans="1:24" s="74" customFormat="1" ht="13.5" hidden="1" thickBot="1" x14ac:dyDescent="0.25">
      <c r="A162" s="66">
        <v>23</v>
      </c>
      <c r="B162" s="67">
        <v>2</v>
      </c>
      <c r="C162" s="78">
        <v>2</v>
      </c>
      <c r="D162" s="79">
        <v>3</v>
      </c>
      <c r="E162" s="79">
        <v>6</v>
      </c>
      <c r="F162" s="79"/>
      <c r="G162" s="108"/>
      <c r="H162" s="125" t="s">
        <v>281</v>
      </c>
      <c r="I162" s="82">
        <f t="shared" ref="I162:W162" si="44">SUM(I163:I164)</f>
        <v>3000</v>
      </c>
      <c r="J162" s="82">
        <f t="shared" si="44"/>
        <v>0</v>
      </c>
      <c r="K162" s="82">
        <f t="shared" si="44"/>
        <v>0</v>
      </c>
      <c r="L162" s="82">
        <f t="shared" si="44"/>
        <v>0</v>
      </c>
      <c r="M162" s="82">
        <f t="shared" si="44"/>
        <v>0</v>
      </c>
      <c r="N162" s="82">
        <f t="shared" si="44"/>
        <v>0</v>
      </c>
      <c r="O162" s="82">
        <f t="shared" si="44"/>
        <v>0</v>
      </c>
      <c r="P162" s="82">
        <f t="shared" si="44"/>
        <v>0</v>
      </c>
      <c r="Q162" s="82">
        <f t="shared" si="44"/>
        <v>0</v>
      </c>
      <c r="R162" s="82">
        <f t="shared" si="44"/>
        <v>0</v>
      </c>
      <c r="S162" s="82">
        <f t="shared" si="44"/>
        <v>0</v>
      </c>
      <c r="T162" s="82">
        <f t="shared" si="44"/>
        <v>0</v>
      </c>
      <c r="U162" s="82">
        <v>0</v>
      </c>
      <c r="V162" s="82">
        <f t="shared" si="44"/>
        <v>0</v>
      </c>
      <c r="W162" s="82">
        <f t="shared" si="44"/>
        <v>3000</v>
      </c>
      <c r="X162" s="73"/>
    </row>
    <row r="163" spans="1:24" s="83" customFormat="1" ht="13.5" hidden="1" thickBot="1" x14ac:dyDescent="0.25">
      <c r="A163" s="66">
        <v>23</v>
      </c>
      <c r="B163" s="67">
        <v>4</v>
      </c>
      <c r="C163" s="90">
        <v>2</v>
      </c>
      <c r="D163" s="91">
        <v>3</v>
      </c>
      <c r="E163" s="91">
        <v>6</v>
      </c>
      <c r="F163" s="91">
        <v>2</v>
      </c>
      <c r="G163" s="128" t="s">
        <v>154</v>
      </c>
      <c r="H163" s="93" t="s">
        <v>282</v>
      </c>
      <c r="I163" s="88">
        <v>3000</v>
      </c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>
        <f>SUM(J163:U163)</f>
        <v>0</v>
      </c>
      <c r="W163" s="88">
        <f>I163-V163</f>
        <v>3000</v>
      </c>
      <c r="X163" s="73"/>
    </row>
    <row r="164" spans="1:24" s="74" customFormat="1" ht="13.5" hidden="1" thickBot="1" x14ac:dyDescent="0.25">
      <c r="A164" s="66">
        <v>23</v>
      </c>
      <c r="B164" s="67">
        <v>4</v>
      </c>
      <c r="C164" s="84">
        <v>2</v>
      </c>
      <c r="D164" s="85">
        <v>3</v>
      </c>
      <c r="E164" s="85">
        <v>6</v>
      </c>
      <c r="F164" s="85">
        <v>3</v>
      </c>
      <c r="G164" s="128" t="s">
        <v>154</v>
      </c>
      <c r="H164" s="98" t="s">
        <v>283</v>
      </c>
      <c r="I164" s="88">
        <v>0</v>
      </c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>
        <f>SUM(J164:U164)</f>
        <v>0</v>
      </c>
      <c r="W164" s="88">
        <f>I164-V164</f>
        <v>0</v>
      </c>
      <c r="X164" s="73"/>
    </row>
    <row r="165" spans="1:24" s="74" customFormat="1" ht="22.5" hidden="1" thickBot="1" x14ac:dyDescent="0.25">
      <c r="A165" s="66">
        <v>23</v>
      </c>
      <c r="B165" s="67">
        <v>2</v>
      </c>
      <c r="C165" s="78">
        <v>2</v>
      </c>
      <c r="D165" s="79">
        <v>3</v>
      </c>
      <c r="E165" s="79">
        <v>7</v>
      </c>
      <c r="F165" s="79"/>
      <c r="G165" s="108"/>
      <c r="H165" s="125" t="s">
        <v>284</v>
      </c>
      <c r="I165" s="82">
        <f t="shared" ref="I165:W165" si="45">+I166+I171</f>
        <v>2575000</v>
      </c>
      <c r="J165" s="82">
        <f t="shared" si="45"/>
        <v>0</v>
      </c>
      <c r="K165" s="82">
        <f t="shared" si="45"/>
        <v>0</v>
      </c>
      <c r="L165" s="82">
        <f t="shared" si="45"/>
        <v>0</v>
      </c>
      <c r="M165" s="82">
        <f t="shared" si="45"/>
        <v>0</v>
      </c>
      <c r="N165" s="82">
        <f t="shared" si="45"/>
        <v>140000</v>
      </c>
      <c r="O165" s="82">
        <f t="shared" si="45"/>
        <v>280000</v>
      </c>
      <c r="P165" s="82">
        <f t="shared" si="45"/>
        <v>280000</v>
      </c>
      <c r="Q165" s="82">
        <f t="shared" si="45"/>
        <v>0</v>
      </c>
      <c r="R165" s="82">
        <f t="shared" si="45"/>
        <v>0</v>
      </c>
      <c r="S165" s="82">
        <f t="shared" si="45"/>
        <v>194087.52</v>
      </c>
      <c r="T165" s="82">
        <f t="shared" si="45"/>
        <v>383068</v>
      </c>
      <c r="U165" s="82">
        <v>380000</v>
      </c>
      <c r="V165" s="82">
        <f t="shared" si="45"/>
        <v>1657155.52</v>
      </c>
      <c r="W165" s="82">
        <f t="shared" si="45"/>
        <v>917844.47999999998</v>
      </c>
      <c r="X165" s="73"/>
    </row>
    <row r="166" spans="1:24" s="83" customFormat="1" ht="13.5" hidden="1" thickBot="1" x14ac:dyDescent="0.25">
      <c r="A166" s="66">
        <v>23</v>
      </c>
      <c r="B166" s="119">
        <v>3</v>
      </c>
      <c r="C166" s="78">
        <v>2</v>
      </c>
      <c r="D166" s="79">
        <v>3</v>
      </c>
      <c r="E166" s="79">
        <v>7</v>
      </c>
      <c r="F166" s="79">
        <v>1</v>
      </c>
      <c r="G166" s="80"/>
      <c r="H166" s="81" t="s">
        <v>285</v>
      </c>
      <c r="I166" s="82">
        <f t="shared" ref="I166:W166" si="46">SUM(I167:I170)</f>
        <v>2540000</v>
      </c>
      <c r="J166" s="82">
        <f t="shared" si="46"/>
        <v>0</v>
      </c>
      <c r="K166" s="82">
        <f t="shared" si="46"/>
        <v>0</v>
      </c>
      <c r="L166" s="82">
        <f t="shared" si="46"/>
        <v>0</v>
      </c>
      <c r="M166" s="82">
        <f t="shared" si="46"/>
        <v>0</v>
      </c>
      <c r="N166" s="82">
        <f t="shared" si="46"/>
        <v>140000</v>
      </c>
      <c r="O166" s="82">
        <f t="shared" si="46"/>
        <v>280000</v>
      </c>
      <c r="P166" s="82">
        <f t="shared" si="46"/>
        <v>280000</v>
      </c>
      <c r="Q166" s="82">
        <f t="shared" si="46"/>
        <v>0</v>
      </c>
      <c r="R166" s="82">
        <f t="shared" si="46"/>
        <v>0</v>
      </c>
      <c r="S166" s="82">
        <f t="shared" si="46"/>
        <v>190000</v>
      </c>
      <c r="T166" s="82">
        <f t="shared" si="46"/>
        <v>380000</v>
      </c>
      <c r="U166" s="82">
        <v>380000</v>
      </c>
      <c r="V166" s="82">
        <f t="shared" si="46"/>
        <v>1650000</v>
      </c>
      <c r="W166" s="82">
        <f t="shared" si="46"/>
        <v>890000</v>
      </c>
      <c r="X166" s="73"/>
    </row>
    <row r="167" spans="1:24" s="122" customFormat="1" ht="13.5" hidden="1" thickBot="1" x14ac:dyDescent="0.25">
      <c r="A167" s="113">
        <v>23</v>
      </c>
      <c r="B167" s="121">
        <v>4</v>
      </c>
      <c r="C167" s="126">
        <v>2</v>
      </c>
      <c r="D167" s="127">
        <v>3</v>
      </c>
      <c r="E167" s="127">
        <v>7</v>
      </c>
      <c r="F167" s="127">
        <v>1</v>
      </c>
      <c r="G167" s="128" t="s">
        <v>154</v>
      </c>
      <c r="H167" s="133" t="s">
        <v>286</v>
      </c>
      <c r="I167" s="88">
        <v>730000</v>
      </c>
      <c r="J167" s="88"/>
      <c r="K167" s="88"/>
      <c r="L167" s="88"/>
      <c r="M167" s="88"/>
      <c r="N167" s="88">
        <v>40000</v>
      </c>
      <c r="O167" s="88">
        <v>80000</v>
      </c>
      <c r="P167" s="88">
        <v>80000</v>
      </c>
      <c r="Q167" s="88"/>
      <c r="R167" s="88"/>
      <c r="S167" s="88">
        <v>40000</v>
      </c>
      <c r="T167" s="88">
        <v>155000</v>
      </c>
      <c r="U167" s="88">
        <v>155000</v>
      </c>
      <c r="V167" s="88">
        <f>SUM(J167:U167)</f>
        <v>550000</v>
      </c>
      <c r="W167" s="88">
        <f>I167-V167</f>
        <v>180000</v>
      </c>
      <c r="X167" s="73"/>
    </row>
    <row r="168" spans="1:24" s="122" customFormat="1" ht="13.5" hidden="1" thickBot="1" x14ac:dyDescent="0.25">
      <c r="A168" s="113">
        <v>23</v>
      </c>
      <c r="B168" s="121">
        <v>4</v>
      </c>
      <c r="C168" s="126">
        <v>2</v>
      </c>
      <c r="D168" s="127">
        <v>3</v>
      </c>
      <c r="E168" s="127">
        <v>7</v>
      </c>
      <c r="F168" s="127">
        <v>1</v>
      </c>
      <c r="G168" s="128" t="s">
        <v>158</v>
      </c>
      <c r="H168" s="133" t="s">
        <v>287</v>
      </c>
      <c r="I168" s="88">
        <v>1800000</v>
      </c>
      <c r="J168" s="88"/>
      <c r="K168" s="88"/>
      <c r="L168" s="88"/>
      <c r="M168" s="88"/>
      <c r="N168" s="88">
        <v>100000</v>
      </c>
      <c r="O168" s="88">
        <v>200000</v>
      </c>
      <c r="P168" s="88">
        <v>200000</v>
      </c>
      <c r="Q168" s="88"/>
      <c r="R168" s="88"/>
      <c r="S168" s="88">
        <v>150000</v>
      </c>
      <c r="T168" s="88">
        <v>225000</v>
      </c>
      <c r="U168" s="88">
        <v>225000</v>
      </c>
      <c r="V168" s="88">
        <f>SUM(J168:U168)</f>
        <v>1100000</v>
      </c>
      <c r="W168" s="88">
        <f>I168-V168</f>
        <v>700000</v>
      </c>
      <c r="X168" s="73"/>
    </row>
    <row r="169" spans="1:24" s="122" customFormat="1" ht="13.5" hidden="1" thickBot="1" x14ac:dyDescent="0.25">
      <c r="A169" s="113">
        <v>23</v>
      </c>
      <c r="B169" s="121">
        <v>4</v>
      </c>
      <c r="C169" s="126">
        <v>2</v>
      </c>
      <c r="D169" s="127">
        <v>3</v>
      </c>
      <c r="E169" s="127">
        <v>7</v>
      </c>
      <c r="F169" s="127">
        <v>1</v>
      </c>
      <c r="G169" s="128" t="s">
        <v>162</v>
      </c>
      <c r="H169" s="133" t="s">
        <v>288</v>
      </c>
      <c r="I169" s="88">
        <v>0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>
        <f>SUM(J169:U169)</f>
        <v>0</v>
      </c>
      <c r="W169" s="88">
        <f>I169-V169</f>
        <v>0</v>
      </c>
      <c r="X169" s="73"/>
    </row>
    <row r="170" spans="1:24" s="122" customFormat="1" ht="13.5" hidden="1" thickBot="1" x14ac:dyDescent="0.25">
      <c r="A170" s="113">
        <v>23</v>
      </c>
      <c r="B170" s="121">
        <v>4</v>
      </c>
      <c r="C170" s="126">
        <v>2</v>
      </c>
      <c r="D170" s="127">
        <v>3</v>
      </c>
      <c r="E170" s="127">
        <v>7</v>
      </c>
      <c r="F170" s="127">
        <v>1</v>
      </c>
      <c r="G170" s="128" t="s">
        <v>178</v>
      </c>
      <c r="H170" s="133" t="s">
        <v>289</v>
      </c>
      <c r="I170" s="88">
        <v>10000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>
        <f>SUM(J170:U170)</f>
        <v>0</v>
      </c>
      <c r="W170" s="88">
        <f>I170-V170</f>
        <v>10000</v>
      </c>
      <c r="X170" s="73"/>
    </row>
    <row r="171" spans="1:24" s="83" customFormat="1" ht="13.5" hidden="1" thickBot="1" x14ac:dyDescent="0.25">
      <c r="A171" s="76">
        <v>23</v>
      </c>
      <c r="B171" s="119"/>
      <c r="C171" s="78">
        <v>2</v>
      </c>
      <c r="D171" s="79">
        <v>3</v>
      </c>
      <c r="E171" s="79">
        <v>7</v>
      </c>
      <c r="F171" s="79">
        <v>2</v>
      </c>
      <c r="G171" s="80"/>
      <c r="H171" s="134"/>
      <c r="I171" s="82">
        <f t="shared" ref="I171:W171" si="47">SUM(I172:I174)</f>
        <v>35000</v>
      </c>
      <c r="J171" s="82">
        <f t="shared" si="47"/>
        <v>0</v>
      </c>
      <c r="K171" s="82">
        <f t="shared" si="47"/>
        <v>0</v>
      </c>
      <c r="L171" s="82">
        <f t="shared" si="47"/>
        <v>0</v>
      </c>
      <c r="M171" s="82">
        <f t="shared" si="47"/>
        <v>0</v>
      </c>
      <c r="N171" s="82">
        <f t="shared" si="47"/>
        <v>0</v>
      </c>
      <c r="O171" s="82">
        <f t="shared" si="47"/>
        <v>0</v>
      </c>
      <c r="P171" s="82">
        <f t="shared" si="47"/>
        <v>0</v>
      </c>
      <c r="Q171" s="82">
        <f t="shared" si="47"/>
        <v>0</v>
      </c>
      <c r="R171" s="82">
        <f t="shared" si="47"/>
        <v>0</v>
      </c>
      <c r="S171" s="82">
        <f t="shared" si="47"/>
        <v>4087.52</v>
      </c>
      <c r="T171" s="82">
        <f t="shared" si="47"/>
        <v>3068</v>
      </c>
      <c r="U171" s="82">
        <v>0</v>
      </c>
      <c r="V171" s="82">
        <f t="shared" si="47"/>
        <v>7155.52</v>
      </c>
      <c r="W171" s="82">
        <f t="shared" si="47"/>
        <v>27844.48</v>
      </c>
      <c r="X171" s="73"/>
    </row>
    <row r="172" spans="1:24" s="122" customFormat="1" ht="13.5" hidden="1" thickBot="1" x14ac:dyDescent="0.25">
      <c r="A172" s="113">
        <v>23</v>
      </c>
      <c r="B172" s="121">
        <v>3</v>
      </c>
      <c r="C172" s="126">
        <v>2</v>
      </c>
      <c r="D172" s="127">
        <v>3</v>
      </c>
      <c r="E172" s="127">
        <v>7</v>
      </c>
      <c r="F172" s="127">
        <v>2</v>
      </c>
      <c r="G172" s="128" t="s">
        <v>164</v>
      </c>
      <c r="H172" s="133" t="s">
        <v>290</v>
      </c>
      <c r="I172" s="88">
        <v>10000</v>
      </c>
      <c r="J172" s="88"/>
      <c r="K172" s="88"/>
      <c r="L172" s="88"/>
      <c r="M172" s="88"/>
      <c r="N172" s="88"/>
      <c r="O172" s="88"/>
      <c r="P172" s="88"/>
      <c r="Q172" s="88"/>
      <c r="R172" s="88"/>
      <c r="S172" s="88">
        <v>4087.52</v>
      </c>
      <c r="T172" s="88"/>
      <c r="U172" s="88"/>
      <c r="V172" s="88">
        <f>SUM(J172:U172)</f>
        <v>4087.52</v>
      </c>
      <c r="W172" s="88">
        <f>I172-V172</f>
        <v>5912.48</v>
      </c>
      <c r="X172" s="73"/>
    </row>
    <row r="173" spans="1:24" s="122" customFormat="1" ht="13.5" hidden="1" thickBot="1" x14ac:dyDescent="0.25">
      <c r="A173" s="113">
        <v>23</v>
      </c>
      <c r="B173" s="121">
        <v>3</v>
      </c>
      <c r="C173" s="126">
        <v>2</v>
      </c>
      <c r="D173" s="127">
        <v>3</v>
      </c>
      <c r="E173" s="127">
        <v>7</v>
      </c>
      <c r="F173" s="127">
        <v>2</v>
      </c>
      <c r="G173" s="128" t="s">
        <v>178</v>
      </c>
      <c r="H173" s="133" t="s">
        <v>291</v>
      </c>
      <c r="I173" s="88">
        <v>15000</v>
      </c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>
        <f>SUM(J173:U173)</f>
        <v>0</v>
      </c>
      <c r="W173" s="88">
        <f>I173-V173</f>
        <v>15000</v>
      </c>
      <c r="X173" s="73"/>
    </row>
    <row r="174" spans="1:24" s="122" customFormat="1" ht="13.5" hidden="1" thickBot="1" x14ac:dyDescent="0.25">
      <c r="A174" s="113">
        <v>23</v>
      </c>
      <c r="B174" s="121">
        <v>3</v>
      </c>
      <c r="C174" s="126">
        <v>2</v>
      </c>
      <c r="D174" s="127">
        <v>3</v>
      </c>
      <c r="E174" s="127">
        <v>7</v>
      </c>
      <c r="F174" s="127">
        <v>2</v>
      </c>
      <c r="G174" s="128" t="s">
        <v>232</v>
      </c>
      <c r="H174" s="135"/>
      <c r="I174" s="88">
        <v>10000</v>
      </c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>
        <v>3068</v>
      </c>
      <c r="U174" s="88"/>
      <c r="V174" s="88">
        <f>SUM(J174:U174)</f>
        <v>3068</v>
      </c>
      <c r="W174" s="88">
        <f>I174-V174</f>
        <v>6932</v>
      </c>
      <c r="X174" s="73"/>
    </row>
    <row r="175" spans="1:24" s="74" customFormat="1" ht="13.5" hidden="1" thickBot="1" x14ac:dyDescent="0.25">
      <c r="A175" s="66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3"/>
    </row>
    <row r="176" spans="1:24" s="74" customFormat="1" ht="13.5" hidden="1" thickBot="1" x14ac:dyDescent="0.25">
      <c r="A176" s="66">
        <v>23</v>
      </c>
      <c r="B176" s="67">
        <v>2</v>
      </c>
      <c r="C176" s="78">
        <v>2</v>
      </c>
      <c r="D176" s="79">
        <v>3</v>
      </c>
      <c r="E176" s="79">
        <v>9</v>
      </c>
      <c r="F176" s="79"/>
      <c r="G176" s="108"/>
      <c r="H176" s="125" t="s">
        <v>292</v>
      </c>
      <c r="I176" s="82">
        <f t="shared" ref="I176:W176" si="48">SUM(I177:I183)</f>
        <v>716265.5</v>
      </c>
      <c r="J176" s="82">
        <f t="shared" si="48"/>
        <v>0</v>
      </c>
      <c r="K176" s="82">
        <f t="shared" si="48"/>
        <v>0</v>
      </c>
      <c r="L176" s="82">
        <f t="shared" si="48"/>
        <v>2832</v>
      </c>
      <c r="M176" s="82">
        <f t="shared" si="48"/>
        <v>6136</v>
      </c>
      <c r="N176" s="82">
        <f t="shared" si="48"/>
        <v>3988.4</v>
      </c>
      <c r="O176" s="82">
        <f t="shared" si="48"/>
        <v>0</v>
      </c>
      <c r="P176" s="168">
        <f t="shared" si="48"/>
        <v>89401.52</v>
      </c>
      <c r="Q176" s="82">
        <f t="shared" si="48"/>
        <v>10651.119999999999</v>
      </c>
      <c r="R176" s="82">
        <f t="shared" si="48"/>
        <v>15517</v>
      </c>
      <c r="S176" s="82">
        <f t="shared" si="48"/>
        <v>59149.649999999994</v>
      </c>
      <c r="T176" s="82">
        <f t="shared" si="48"/>
        <v>101528.2</v>
      </c>
      <c r="U176" s="82">
        <v>104495.18000000001</v>
      </c>
      <c r="V176" s="82">
        <f t="shared" si="48"/>
        <v>393699.06999999995</v>
      </c>
      <c r="W176" s="82">
        <f t="shared" si="48"/>
        <v>322566.43000000005</v>
      </c>
      <c r="X176" s="73"/>
    </row>
    <row r="177" spans="1:24" s="83" customFormat="1" ht="13.5" hidden="1" thickBot="1" x14ac:dyDescent="0.25">
      <c r="A177" s="66">
        <v>23</v>
      </c>
      <c r="B177" s="119">
        <v>3</v>
      </c>
      <c r="C177" s="90">
        <v>2</v>
      </c>
      <c r="D177" s="91">
        <v>3</v>
      </c>
      <c r="E177" s="91">
        <v>9</v>
      </c>
      <c r="F177" s="91">
        <v>1</v>
      </c>
      <c r="G177" s="92"/>
      <c r="H177" s="93" t="s">
        <v>293</v>
      </c>
      <c r="I177" s="88">
        <v>40000</v>
      </c>
      <c r="J177" s="88"/>
      <c r="K177" s="88"/>
      <c r="L177" s="88">
        <v>2832</v>
      </c>
      <c r="M177" s="88"/>
      <c r="N177" s="88">
        <v>0</v>
      </c>
      <c r="O177" s="88">
        <v>0</v>
      </c>
      <c r="P177" s="88">
        <v>0</v>
      </c>
      <c r="Q177" s="99">
        <v>1044.1199999999999</v>
      </c>
      <c r="R177" s="88"/>
      <c r="S177" s="88">
        <v>17284.91</v>
      </c>
      <c r="T177" s="88"/>
      <c r="U177" s="88">
        <v>850.82</v>
      </c>
      <c r="V177" s="88">
        <f t="shared" ref="V177:V182" si="49">SUM(J177:U177)</f>
        <v>22011.85</v>
      </c>
      <c r="W177" s="88">
        <f t="shared" ref="W177:W182" si="50">I177-V177</f>
        <v>17988.150000000001</v>
      </c>
      <c r="X177" s="73"/>
    </row>
    <row r="178" spans="1:24" s="83" customFormat="1" ht="13.5" hidden="1" thickBot="1" x14ac:dyDescent="0.25">
      <c r="A178" s="66">
        <v>23</v>
      </c>
      <c r="B178" s="119">
        <v>3</v>
      </c>
      <c r="C178" s="90">
        <v>2</v>
      </c>
      <c r="D178" s="91">
        <v>3</v>
      </c>
      <c r="E178" s="91">
        <v>9</v>
      </c>
      <c r="F178" s="91">
        <v>2</v>
      </c>
      <c r="G178" s="92"/>
      <c r="H178" s="93" t="s">
        <v>294</v>
      </c>
      <c r="I178" s="88">
        <v>200265.5</v>
      </c>
      <c r="J178" s="88"/>
      <c r="K178" s="88"/>
      <c r="L178" s="88"/>
      <c r="M178" s="88"/>
      <c r="N178" s="88">
        <v>3988.4</v>
      </c>
      <c r="O178" s="88">
        <v>0</v>
      </c>
      <c r="P178" s="88">
        <v>74764.800000000003</v>
      </c>
      <c r="Q178" s="99">
        <v>855</v>
      </c>
      <c r="R178" s="88"/>
      <c r="S178" s="88">
        <v>16912.37</v>
      </c>
      <c r="T178" s="88"/>
      <c r="U178" s="88">
        <v>98593.74</v>
      </c>
      <c r="V178" s="88">
        <f t="shared" si="49"/>
        <v>195114.31</v>
      </c>
      <c r="W178" s="88">
        <f t="shared" si="50"/>
        <v>5151.1900000000023</v>
      </c>
      <c r="X178" s="73"/>
    </row>
    <row r="179" spans="1:24" s="122" customFormat="1" ht="13.5" hidden="1" thickBot="1" x14ac:dyDescent="0.25">
      <c r="A179" s="113">
        <v>23</v>
      </c>
      <c r="B179" s="121">
        <v>4</v>
      </c>
      <c r="C179" s="126">
        <v>2</v>
      </c>
      <c r="D179" s="127">
        <v>3</v>
      </c>
      <c r="E179" s="127">
        <v>9</v>
      </c>
      <c r="F179" s="127">
        <v>3</v>
      </c>
      <c r="G179" s="128" t="s">
        <v>154</v>
      </c>
      <c r="H179" s="135"/>
      <c r="I179" s="88">
        <v>45000</v>
      </c>
      <c r="J179" s="88"/>
      <c r="K179" s="88"/>
      <c r="L179" s="88"/>
      <c r="M179" s="88">
        <v>6136</v>
      </c>
      <c r="N179" s="88">
        <v>0</v>
      </c>
      <c r="O179" s="88">
        <v>0</v>
      </c>
      <c r="P179" s="88">
        <v>6136</v>
      </c>
      <c r="Q179" s="99"/>
      <c r="R179" s="88">
        <v>15517</v>
      </c>
      <c r="S179" s="88"/>
      <c r="T179" s="88"/>
      <c r="U179" s="88"/>
      <c r="V179" s="88">
        <f t="shared" si="49"/>
        <v>27789</v>
      </c>
      <c r="W179" s="88">
        <f t="shared" si="50"/>
        <v>17211</v>
      </c>
      <c r="X179" s="73"/>
    </row>
    <row r="180" spans="1:24" s="83" customFormat="1" ht="13.5" hidden="1" thickBot="1" x14ac:dyDescent="0.25">
      <c r="A180" s="66">
        <v>23</v>
      </c>
      <c r="B180" s="119">
        <v>3</v>
      </c>
      <c r="C180" s="90">
        <v>2</v>
      </c>
      <c r="D180" s="91">
        <v>3</v>
      </c>
      <c r="E180" s="91">
        <v>9</v>
      </c>
      <c r="F180" s="91">
        <v>4</v>
      </c>
      <c r="G180" s="92"/>
      <c r="H180" s="93" t="s">
        <v>295</v>
      </c>
      <c r="I180" s="88">
        <v>0</v>
      </c>
      <c r="J180" s="88"/>
      <c r="K180" s="88"/>
      <c r="L180" s="88"/>
      <c r="M180" s="88"/>
      <c r="N180" s="88">
        <v>0</v>
      </c>
      <c r="O180" s="88">
        <v>0</v>
      </c>
      <c r="P180" s="88">
        <v>0</v>
      </c>
      <c r="Q180" s="88">
        <v>0</v>
      </c>
      <c r="R180" s="88"/>
      <c r="S180" s="88"/>
      <c r="T180" s="88"/>
      <c r="U180" s="88"/>
      <c r="V180" s="88">
        <f t="shared" si="49"/>
        <v>0</v>
      </c>
      <c r="W180" s="88">
        <f t="shared" si="50"/>
        <v>0</v>
      </c>
      <c r="X180" s="73"/>
    </row>
    <row r="181" spans="1:24" s="83" customFormat="1" ht="13.5" hidden="1" thickBot="1" x14ac:dyDescent="0.25">
      <c r="A181" s="66">
        <v>23</v>
      </c>
      <c r="B181" s="119">
        <v>3</v>
      </c>
      <c r="C181" s="90">
        <v>2</v>
      </c>
      <c r="D181" s="91">
        <v>3</v>
      </c>
      <c r="E181" s="91">
        <v>9</v>
      </c>
      <c r="F181" s="91">
        <v>5</v>
      </c>
      <c r="G181" s="92"/>
      <c r="H181" s="93" t="s">
        <v>296</v>
      </c>
      <c r="I181" s="88">
        <v>20000</v>
      </c>
      <c r="J181" s="88"/>
      <c r="K181" s="88"/>
      <c r="L181" s="88"/>
      <c r="M181" s="88"/>
      <c r="N181" s="88">
        <v>0</v>
      </c>
      <c r="O181" s="88">
        <v>0</v>
      </c>
      <c r="P181" s="88">
        <v>0</v>
      </c>
      <c r="Q181" s="88">
        <v>99</v>
      </c>
      <c r="R181" s="88"/>
      <c r="S181" s="88"/>
      <c r="T181" s="88"/>
      <c r="U181" s="88"/>
      <c r="V181" s="88">
        <f t="shared" si="49"/>
        <v>99</v>
      </c>
      <c r="W181" s="88">
        <f t="shared" si="50"/>
        <v>19901</v>
      </c>
      <c r="X181" s="73"/>
    </row>
    <row r="182" spans="1:24" s="83" customFormat="1" ht="13.5" hidden="1" thickBot="1" x14ac:dyDescent="0.25">
      <c r="A182" s="66">
        <v>23</v>
      </c>
      <c r="B182" s="119">
        <v>3</v>
      </c>
      <c r="C182" s="90">
        <v>2</v>
      </c>
      <c r="D182" s="91">
        <v>3</v>
      </c>
      <c r="E182" s="91">
        <v>9</v>
      </c>
      <c r="F182" s="91">
        <v>6</v>
      </c>
      <c r="G182" s="92"/>
      <c r="H182" s="93" t="s">
        <v>297</v>
      </c>
      <c r="I182" s="88">
        <v>187000</v>
      </c>
      <c r="J182" s="88"/>
      <c r="K182" s="88"/>
      <c r="L182" s="88"/>
      <c r="M182" s="88"/>
      <c r="N182" s="88">
        <v>0</v>
      </c>
      <c r="O182" s="88">
        <v>0</v>
      </c>
      <c r="P182" s="88">
        <v>8500.7199999999993</v>
      </c>
      <c r="Q182" s="88">
        <v>0</v>
      </c>
      <c r="R182" s="88"/>
      <c r="S182" s="88">
        <v>24952.37</v>
      </c>
      <c r="T182" s="88">
        <v>101528.2</v>
      </c>
      <c r="U182" s="88"/>
      <c r="V182" s="88">
        <f t="shared" si="49"/>
        <v>134981.28999999998</v>
      </c>
      <c r="W182" s="88">
        <f t="shared" si="50"/>
        <v>52018.710000000021</v>
      </c>
      <c r="X182" s="73"/>
    </row>
    <row r="183" spans="1:24" s="83" customFormat="1" ht="13.5" hidden="1" thickBot="1" x14ac:dyDescent="0.25">
      <c r="A183" s="66">
        <v>23</v>
      </c>
      <c r="B183" s="119">
        <v>3</v>
      </c>
      <c r="C183" s="78">
        <v>2</v>
      </c>
      <c r="D183" s="79">
        <v>3</v>
      </c>
      <c r="E183" s="79">
        <v>9</v>
      </c>
      <c r="F183" s="79">
        <v>9</v>
      </c>
      <c r="G183" s="80"/>
      <c r="H183" s="81"/>
      <c r="I183" s="82">
        <f t="shared" ref="I183:W183" si="51">SUM(I184:I186)</f>
        <v>224000</v>
      </c>
      <c r="J183" s="82">
        <f t="shared" si="51"/>
        <v>0</v>
      </c>
      <c r="K183" s="82">
        <f t="shared" si="51"/>
        <v>0</v>
      </c>
      <c r="L183" s="82">
        <f t="shared" si="51"/>
        <v>0</v>
      </c>
      <c r="M183" s="82">
        <f t="shared" si="51"/>
        <v>0</v>
      </c>
      <c r="N183" s="82">
        <f t="shared" si="51"/>
        <v>0</v>
      </c>
      <c r="O183" s="82">
        <f t="shared" si="51"/>
        <v>0</v>
      </c>
      <c r="P183" s="82">
        <f t="shared" si="51"/>
        <v>0</v>
      </c>
      <c r="Q183" s="82">
        <f t="shared" si="51"/>
        <v>8653</v>
      </c>
      <c r="R183" s="82">
        <f t="shared" si="51"/>
        <v>0</v>
      </c>
      <c r="S183" s="82">
        <f t="shared" si="51"/>
        <v>0</v>
      </c>
      <c r="T183" s="82">
        <f t="shared" si="51"/>
        <v>0</v>
      </c>
      <c r="U183" s="82">
        <v>5050.62</v>
      </c>
      <c r="V183" s="82">
        <f t="shared" si="51"/>
        <v>13703.619999999999</v>
      </c>
      <c r="W183" s="82">
        <f t="shared" si="51"/>
        <v>210296.38</v>
      </c>
      <c r="X183" s="73"/>
    </row>
    <row r="184" spans="1:24" s="83" customFormat="1" ht="13.5" hidden="1" thickBot="1" x14ac:dyDescent="0.25">
      <c r="A184" s="66">
        <v>23</v>
      </c>
      <c r="B184" s="119">
        <v>3</v>
      </c>
      <c r="C184" s="90">
        <v>2</v>
      </c>
      <c r="D184" s="91">
        <v>3</v>
      </c>
      <c r="E184" s="91">
        <v>9</v>
      </c>
      <c r="F184" s="91">
        <v>9</v>
      </c>
      <c r="G184" s="86" t="s">
        <v>154</v>
      </c>
      <c r="H184" s="93" t="s">
        <v>298</v>
      </c>
      <c r="I184" s="88">
        <v>14000</v>
      </c>
      <c r="J184" s="88"/>
      <c r="K184" s="88"/>
      <c r="L184" s="88"/>
      <c r="M184" s="88"/>
      <c r="N184" s="88"/>
      <c r="O184" s="88"/>
      <c r="P184" s="88"/>
      <c r="Q184" s="99">
        <v>8653</v>
      </c>
      <c r="R184" s="88"/>
      <c r="S184" s="88"/>
      <c r="T184" s="88"/>
      <c r="U184" s="88">
        <v>5050.62</v>
      </c>
      <c r="V184" s="88">
        <f>SUM(J184:U184)</f>
        <v>13703.619999999999</v>
      </c>
      <c r="W184" s="88">
        <f>I184-V184</f>
        <v>296.38000000000102</v>
      </c>
      <c r="X184" s="73"/>
    </row>
    <row r="185" spans="1:24" s="114" customFormat="1" ht="13.5" hidden="1" thickBot="1" x14ac:dyDescent="0.25">
      <c r="A185" s="113">
        <v>23</v>
      </c>
      <c r="B185" s="129">
        <v>3</v>
      </c>
      <c r="C185" s="130">
        <v>2</v>
      </c>
      <c r="D185" s="131">
        <v>3</v>
      </c>
      <c r="E185" s="131">
        <v>9</v>
      </c>
      <c r="F185" s="131">
        <v>9</v>
      </c>
      <c r="G185" s="86" t="s">
        <v>158</v>
      </c>
      <c r="H185" s="136" t="s">
        <v>299</v>
      </c>
      <c r="I185" s="88">
        <v>210000</v>
      </c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>
        <f>SUM(J185:U185)</f>
        <v>0</v>
      </c>
      <c r="W185" s="88">
        <f>I185-V185</f>
        <v>210000</v>
      </c>
      <c r="X185" s="73"/>
    </row>
    <row r="186" spans="1:24" s="83" customFormat="1" ht="13.5" hidden="1" thickBot="1" x14ac:dyDescent="0.25">
      <c r="A186" s="66">
        <v>23</v>
      </c>
      <c r="B186" s="119">
        <v>3</v>
      </c>
      <c r="C186" s="90">
        <v>2</v>
      </c>
      <c r="D186" s="91">
        <v>3</v>
      </c>
      <c r="E186" s="91">
        <v>9</v>
      </c>
      <c r="F186" s="91">
        <v>9</v>
      </c>
      <c r="G186" s="86" t="s">
        <v>160</v>
      </c>
      <c r="H186" s="93" t="s">
        <v>300</v>
      </c>
      <c r="I186" s="88">
        <v>0</v>
      </c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>
        <f>SUM(J186:U186)</f>
        <v>0</v>
      </c>
      <c r="W186" s="88"/>
      <c r="X186" s="73"/>
    </row>
    <row r="187" spans="1:24" s="74" customFormat="1" ht="13.5" hidden="1" thickBot="1" x14ac:dyDescent="0.25">
      <c r="A187" s="66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3"/>
    </row>
    <row r="188" spans="1:24" s="74" customFormat="1" ht="13.5" thickBot="1" x14ac:dyDescent="0.25">
      <c r="A188" s="66">
        <v>24</v>
      </c>
      <c r="B188" s="67">
        <v>1</v>
      </c>
      <c r="C188" s="68">
        <v>2</v>
      </c>
      <c r="D188" s="69">
        <v>4</v>
      </c>
      <c r="E188" s="69"/>
      <c r="F188" s="69"/>
      <c r="G188" s="70"/>
      <c r="H188" s="71" t="s">
        <v>301</v>
      </c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3"/>
    </row>
    <row r="189" spans="1:24" s="74" customFormat="1" ht="13.5" hidden="1" thickBot="1" x14ac:dyDescent="0.25">
      <c r="A189" s="66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3"/>
    </row>
    <row r="190" spans="1:24" s="74" customFormat="1" ht="22.5" hidden="1" thickBot="1" x14ac:dyDescent="0.25">
      <c r="A190" s="66">
        <v>24</v>
      </c>
      <c r="B190" s="67">
        <v>2</v>
      </c>
      <c r="C190" s="78">
        <v>2</v>
      </c>
      <c r="D190" s="79">
        <v>4</v>
      </c>
      <c r="E190" s="79">
        <v>1</v>
      </c>
      <c r="F190" s="79"/>
      <c r="G190" s="108"/>
      <c r="H190" s="137" t="s">
        <v>302</v>
      </c>
      <c r="I190" s="138">
        <f t="shared" ref="I190:W190" si="52">I191+I194+I197+I198</f>
        <v>0</v>
      </c>
      <c r="J190" s="138">
        <f t="shared" si="52"/>
        <v>0</v>
      </c>
      <c r="K190" s="138">
        <f t="shared" si="52"/>
        <v>0</v>
      </c>
      <c r="L190" s="138">
        <f t="shared" si="52"/>
        <v>0</v>
      </c>
      <c r="M190" s="138">
        <f t="shared" si="52"/>
        <v>0</v>
      </c>
      <c r="N190" s="138">
        <f t="shared" si="52"/>
        <v>0</v>
      </c>
      <c r="O190" s="138">
        <f t="shared" si="52"/>
        <v>0</v>
      </c>
      <c r="P190" s="138">
        <f t="shared" si="52"/>
        <v>0</v>
      </c>
      <c r="Q190" s="138">
        <f t="shared" si="52"/>
        <v>0</v>
      </c>
      <c r="R190" s="138">
        <f t="shared" si="52"/>
        <v>0</v>
      </c>
      <c r="S190" s="138">
        <f t="shared" si="52"/>
        <v>0</v>
      </c>
      <c r="T190" s="138">
        <f t="shared" si="52"/>
        <v>0</v>
      </c>
      <c r="U190" s="138">
        <v>0</v>
      </c>
      <c r="V190" s="138">
        <f t="shared" si="52"/>
        <v>0</v>
      </c>
      <c r="W190" s="138">
        <f t="shared" si="52"/>
        <v>0</v>
      </c>
      <c r="X190" s="73"/>
    </row>
    <row r="191" spans="1:24" s="83" customFormat="1" ht="13.5" hidden="1" thickBot="1" x14ac:dyDescent="0.25">
      <c r="A191" s="66">
        <v>24</v>
      </c>
      <c r="B191" s="119">
        <v>3</v>
      </c>
      <c r="C191" s="78">
        <v>2</v>
      </c>
      <c r="D191" s="79">
        <v>4</v>
      </c>
      <c r="E191" s="79">
        <v>1</v>
      </c>
      <c r="F191" s="79">
        <v>2</v>
      </c>
      <c r="G191" s="80"/>
      <c r="H191" s="139" t="s">
        <v>303</v>
      </c>
      <c r="I191" s="138">
        <f t="shared" ref="I191:W191" si="53">I192+I193</f>
        <v>0</v>
      </c>
      <c r="J191" s="138">
        <f t="shared" si="53"/>
        <v>0</v>
      </c>
      <c r="K191" s="138">
        <f t="shared" si="53"/>
        <v>0</v>
      </c>
      <c r="L191" s="138">
        <f t="shared" si="53"/>
        <v>0</v>
      </c>
      <c r="M191" s="138">
        <f t="shared" si="53"/>
        <v>0</v>
      </c>
      <c r="N191" s="138">
        <f t="shared" si="53"/>
        <v>0</v>
      </c>
      <c r="O191" s="138">
        <f t="shared" si="53"/>
        <v>0</v>
      </c>
      <c r="P191" s="138">
        <f t="shared" si="53"/>
        <v>0</v>
      </c>
      <c r="Q191" s="138">
        <f t="shared" si="53"/>
        <v>0</v>
      </c>
      <c r="R191" s="138">
        <f t="shared" si="53"/>
        <v>0</v>
      </c>
      <c r="S191" s="138">
        <f t="shared" si="53"/>
        <v>0</v>
      </c>
      <c r="T191" s="138">
        <f t="shared" si="53"/>
        <v>0</v>
      </c>
      <c r="U191" s="138">
        <v>0</v>
      </c>
      <c r="V191" s="138">
        <f t="shared" si="53"/>
        <v>0</v>
      </c>
      <c r="W191" s="138">
        <f t="shared" si="53"/>
        <v>0</v>
      </c>
      <c r="X191" s="73"/>
    </row>
    <row r="192" spans="1:24" s="74" customFormat="1" ht="13.5" hidden="1" thickBot="1" x14ac:dyDescent="0.25">
      <c r="A192" s="66">
        <v>24</v>
      </c>
      <c r="B192" s="67">
        <v>4</v>
      </c>
      <c r="C192" s="84">
        <v>2</v>
      </c>
      <c r="D192" s="85">
        <v>4</v>
      </c>
      <c r="E192" s="85">
        <v>1</v>
      </c>
      <c r="F192" s="85">
        <v>2</v>
      </c>
      <c r="G192" s="86" t="s">
        <v>154</v>
      </c>
      <c r="H192" s="98" t="s">
        <v>304</v>
      </c>
      <c r="I192" s="88">
        <v>0</v>
      </c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>
        <f>SUM(J192:U192)</f>
        <v>0</v>
      </c>
      <c r="W192" s="88">
        <f>I192-V192</f>
        <v>0</v>
      </c>
      <c r="X192" s="73"/>
    </row>
    <row r="193" spans="1:24" s="74" customFormat="1" ht="13.5" hidden="1" thickBot="1" x14ac:dyDescent="0.25">
      <c r="A193" s="66">
        <v>24</v>
      </c>
      <c r="B193" s="67">
        <v>4</v>
      </c>
      <c r="C193" s="84">
        <v>2</v>
      </c>
      <c r="D193" s="85">
        <v>4</v>
      </c>
      <c r="E193" s="85">
        <v>1</v>
      </c>
      <c r="F193" s="85">
        <v>2</v>
      </c>
      <c r="G193" s="86" t="s">
        <v>158</v>
      </c>
      <c r="H193" s="98" t="s">
        <v>305</v>
      </c>
      <c r="I193" s="88">
        <v>0</v>
      </c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>
        <f>SUM(J193:U193)</f>
        <v>0</v>
      </c>
      <c r="W193" s="88">
        <f>I193-V193</f>
        <v>0</v>
      </c>
      <c r="X193" s="73"/>
    </row>
    <row r="194" spans="1:24" s="83" customFormat="1" ht="13.5" hidden="1" thickBot="1" x14ac:dyDescent="0.25">
      <c r="A194" s="66">
        <v>24</v>
      </c>
      <c r="B194" s="119">
        <v>3</v>
      </c>
      <c r="C194" s="78">
        <v>2</v>
      </c>
      <c r="D194" s="79">
        <v>4</v>
      </c>
      <c r="E194" s="79">
        <v>1</v>
      </c>
      <c r="F194" s="79">
        <v>4</v>
      </c>
      <c r="G194" s="80"/>
      <c r="H194" s="81" t="s">
        <v>306</v>
      </c>
      <c r="I194" s="138">
        <f t="shared" ref="I194:W194" si="54">I195+I196</f>
        <v>0</v>
      </c>
      <c r="J194" s="138">
        <f t="shared" si="54"/>
        <v>0</v>
      </c>
      <c r="K194" s="138">
        <f t="shared" si="54"/>
        <v>0</v>
      </c>
      <c r="L194" s="138">
        <f t="shared" si="54"/>
        <v>0</v>
      </c>
      <c r="M194" s="138">
        <f t="shared" si="54"/>
        <v>0</v>
      </c>
      <c r="N194" s="138">
        <f t="shared" si="54"/>
        <v>0</v>
      </c>
      <c r="O194" s="138">
        <f t="shared" si="54"/>
        <v>0</v>
      </c>
      <c r="P194" s="138">
        <f t="shared" si="54"/>
        <v>0</v>
      </c>
      <c r="Q194" s="138">
        <f t="shared" si="54"/>
        <v>0</v>
      </c>
      <c r="R194" s="138">
        <f t="shared" si="54"/>
        <v>0</v>
      </c>
      <c r="S194" s="138">
        <f t="shared" si="54"/>
        <v>0</v>
      </c>
      <c r="T194" s="138">
        <f t="shared" si="54"/>
        <v>0</v>
      </c>
      <c r="U194" s="138">
        <v>0</v>
      </c>
      <c r="V194" s="138">
        <f t="shared" si="54"/>
        <v>0</v>
      </c>
      <c r="W194" s="138">
        <f t="shared" si="54"/>
        <v>0</v>
      </c>
      <c r="X194" s="73"/>
    </row>
    <row r="195" spans="1:24" s="74" customFormat="1" ht="13.5" hidden="1" thickBot="1" x14ac:dyDescent="0.25">
      <c r="A195" s="66">
        <v>24</v>
      </c>
      <c r="B195" s="67">
        <v>4</v>
      </c>
      <c r="C195" s="84">
        <v>2</v>
      </c>
      <c r="D195" s="85">
        <v>4</v>
      </c>
      <c r="E195" s="85">
        <v>1</v>
      </c>
      <c r="F195" s="85">
        <v>4</v>
      </c>
      <c r="G195" s="86" t="s">
        <v>154</v>
      </c>
      <c r="H195" s="98" t="s">
        <v>307</v>
      </c>
      <c r="I195" s="88">
        <v>0</v>
      </c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>
        <f>SUM(J195:U195)</f>
        <v>0</v>
      </c>
      <c r="W195" s="88">
        <f>I195-V195</f>
        <v>0</v>
      </c>
      <c r="X195" s="73"/>
    </row>
    <row r="196" spans="1:24" s="74" customFormat="1" ht="13.5" hidden="1" thickBot="1" x14ac:dyDescent="0.25">
      <c r="A196" s="66">
        <v>24</v>
      </c>
      <c r="B196" s="67">
        <v>4</v>
      </c>
      <c r="C196" s="84">
        <v>2</v>
      </c>
      <c r="D196" s="85">
        <v>4</v>
      </c>
      <c r="E196" s="85">
        <v>1</v>
      </c>
      <c r="F196" s="85">
        <v>4</v>
      </c>
      <c r="G196" s="86" t="s">
        <v>158</v>
      </c>
      <c r="H196" s="98" t="s">
        <v>308</v>
      </c>
      <c r="I196" s="88">
        <v>0</v>
      </c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>
        <f>SUM(J196:U196)</f>
        <v>0</v>
      </c>
      <c r="W196" s="88">
        <f>I196-V196</f>
        <v>0</v>
      </c>
      <c r="X196" s="73"/>
    </row>
    <row r="197" spans="1:24" s="83" customFormat="1" ht="13.5" hidden="1" thickBot="1" x14ac:dyDescent="0.25">
      <c r="A197" s="66">
        <v>24</v>
      </c>
      <c r="B197" s="119">
        <v>3</v>
      </c>
      <c r="C197" s="90">
        <v>2</v>
      </c>
      <c r="D197" s="91">
        <v>4</v>
      </c>
      <c r="E197" s="91">
        <v>1</v>
      </c>
      <c r="F197" s="91">
        <v>5</v>
      </c>
      <c r="G197" s="92"/>
      <c r="H197" s="93" t="s">
        <v>309</v>
      </c>
      <c r="I197" s="88">
        <v>0</v>
      </c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>
        <f>SUM(J197:U197)</f>
        <v>0</v>
      </c>
      <c r="W197" s="88">
        <f>I197-V197</f>
        <v>0</v>
      </c>
      <c r="X197" s="73"/>
    </row>
    <row r="198" spans="1:24" s="83" customFormat="1" ht="22.5" hidden="1" thickBot="1" x14ac:dyDescent="0.25">
      <c r="A198" s="66">
        <v>24</v>
      </c>
      <c r="B198" s="119">
        <v>3</v>
      </c>
      <c r="C198" s="78">
        <v>2</v>
      </c>
      <c r="D198" s="79">
        <v>4</v>
      </c>
      <c r="E198" s="79">
        <v>1</v>
      </c>
      <c r="F198" s="79">
        <v>6</v>
      </c>
      <c r="G198" s="80"/>
      <c r="H198" s="125" t="s">
        <v>310</v>
      </c>
      <c r="I198" s="138">
        <f t="shared" ref="I198:W198" si="55">I199+I200</f>
        <v>0</v>
      </c>
      <c r="J198" s="138">
        <f t="shared" si="55"/>
        <v>0</v>
      </c>
      <c r="K198" s="138">
        <f t="shared" si="55"/>
        <v>0</v>
      </c>
      <c r="L198" s="138">
        <f t="shared" si="55"/>
        <v>0</v>
      </c>
      <c r="M198" s="138">
        <f t="shared" si="55"/>
        <v>0</v>
      </c>
      <c r="N198" s="138">
        <f t="shared" si="55"/>
        <v>0</v>
      </c>
      <c r="O198" s="138">
        <f t="shared" si="55"/>
        <v>0</v>
      </c>
      <c r="P198" s="138">
        <f t="shared" si="55"/>
        <v>0</v>
      </c>
      <c r="Q198" s="138">
        <f t="shared" si="55"/>
        <v>0</v>
      </c>
      <c r="R198" s="138">
        <f t="shared" si="55"/>
        <v>0</v>
      </c>
      <c r="S198" s="138">
        <f t="shared" si="55"/>
        <v>0</v>
      </c>
      <c r="T198" s="138">
        <f t="shared" si="55"/>
        <v>0</v>
      </c>
      <c r="U198" s="138">
        <v>0</v>
      </c>
      <c r="V198" s="138">
        <f t="shared" si="55"/>
        <v>0</v>
      </c>
      <c r="W198" s="138">
        <f t="shared" si="55"/>
        <v>0</v>
      </c>
      <c r="X198" s="73"/>
    </row>
    <row r="199" spans="1:24" s="74" customFormat="1" ht="13.5" hidden="1" thickBot="1" x14ac:dyDescent="0.25">
      <c r="A199" s="66">
        <v>24</v>
      </c>
      <c r="B199" s="67">
        <v>4</v>
      </c>
      <c r="C199" s="84">
        <v>2</v>
      </c>
      <c r="D199" s="85">
        <v>4</v>
      </c>
      <c r="E199" s="85">
        <v>1</v>
      </c>
      <c r="F199" s="85">
        <v>6</v>
      </c>
      <c r="G199" s="86" t="s">
        <v>154</v>
      </c>
      <c r="H199" s="98" t="s">
        <v>311</v>
      </c>
      <c r="I199" s="88">
        <v>0</v>
      </c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>
        <f>SUM(J199:U199)</f>
        <v>0</v>
      </c>
      <c r="W199" s="88">
        <f>I199-V199</f>
        <v>0</v>
      </c>
      <c r="X199" s="73"/>
    </row>
    <row r="200" spans="1:24" s="74" customFormat="1" ht="23.25" hidden="1" thickBot="1" x14ac:dyDescent="0.25">
      <c r="A200" s="66">
        <v>24</v>
      </c>
      <c r="B200" s="67">
        <v>4</v>
      </c>
      <c r="C200" s="84">
        <v>2</v>
      </c>
      <c r="D200" s="85">
        <v>4</v>
      </c>
      <c r="E200" s="85">
        <v>1</v>
      </c>
      <c r="F200" s="85">
        <v>6</v>
      </c>
      <c r="G200" s="86" t="s">
        <v>162</v>
      </c>
      <c r="H200" s="118" t="s">
        <v>312</v>
      </c>
      <c r="I200" s="88">
        <v>0</v>
      </c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>
        <f>SUM(J200:U200)</f>
        <v>0</v>
      </c>
      <c r="W200" s="88">
        <f>I200-V200</f>
        <v>0</v>
      </c>
      <c r="X200" s="73"/>
    </row>
    <row r="201" spans="1:24" s="74" customFormat="1" ht="13.5" hidden="1" thickBot="1" x14ac:dyDescent="0.25">
      <c r="A201" s="66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3"/>
    </row>
    <row r="202" spans="1:24" s="74" customFormat="1" ht="13.5" thickBot="1" x14ac:dyDescent="0.25">
      <c r="A202" s="66">
        <v>26</v>
      </c>
      <c r="B202" s="67">
        <v>1</v>
      </c>
      <c r="C202" s="68">
        <v>2</v>
      </c>
      <c r="D202" s="69">
        <v>6</v>
      </c>
      <c r="E202" s="69"/>
      <c r="F202" s="69"/>
      <c r="G202" s="70"/>
      <c r="H202" s="71" t="s">
        <v>313</v>
      </c>
      <c r="I202" s="72">
        <v>1403752</v>
      </c>
      <c r="J202" s="72">
        <f t="shared" ref="J202:W202" si="56">+J204+J211+J214+J219+J222</f>
        <v>0</v>
      </c>
      <c r="K202" s="72">
        <f t="shared" si="56"/>
        <v>0</v>
      </c>
      <c r="L202" s="72">
        <f t="shared" si="56"/>
        <v>0</v>
      </c>
      <c r="M202" s="72">
        <f t="shared" si="56"/>
        <v>0</v>
      </c>
      <c r="N202" s="72">
        <f t="shared" si="56"/>
        <v>0</v>
      </c>
      <c r="O202" s="72">
        <f t="shared" si="56"/>
        <v>0</v>
      </c>
      <c r="P202" s="72">
        <f t="shared" si="56"/>
        <v>124624.52</v>
      </c>
      <c r="Q202" s="72">
        <f t="shared" si="56"/>
        <v>49465.599999999999</v>
      </c>
      <c r="R202" s="72">
        <f t="shared" si="56"/>
        <v>97468</v>
      </c>
      <c r="S202" s="72">
        <f t="shared" si="56"/>
        <v>94400</v>
      </c>
      <c r="T202" s="72">
        <f t="shared" si="56"/>
        <v>166930.18</v>
      </c>
      <c r="U202" s="72">
        <f t="shared" si="56"/>
        <v>86027.9</v>
      </c>
      <c r="V202" s="72">
        <f t="shared" si="56"/>
        <v>618916.19999999995</v>
      </c>
      <c r="W202" s="72">
        <f t="shared" si="56"/>
        <v>784835.8</v>
      </c>
      <c r="X202" s="73"/>
    </row>
    <row r="203" spans="1:24" s="74" customFormat="1" hidden="1" x14ac:dyDescent="0.2">
      <c r="A203" s="66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3"/>
    </row>
    <row r="204" spans="1:24" s="74" customFormat="1" hidden="1" x14ac:dyDescent="0.2">
      <c r="A204" s="66">
        <v>26</v>
      </c>
      <c r="B204" s="67">
        <v>2</v>
      </c>
      <c r="C204" s="78">
        <v>2</v>
      </c>
      <c r="D204" s="79">
        <v>6</v>
      </c>
      <c r="E204" s="79">
        <v>1</v>
      </c>
      <c r="F204" s="79"/>
      <c r="G204" s="108"/>
      <c r="H204" s="125" t="s">
        <v>314</v>
      </c>
      <c r="I204" s="82">
        <f t="shared" ref="I204:W204" si="57">SUM(I205:I209)</f>
        <v>851852</v>
      </c>
      <c r="J204" s="82">
        <f t="shared" si="57"/>
        <v>0</v>
      </c>
      <c r="K204" s="82">
        <f t="shared" si="57"/>
        <v>0</v>
      </c>
      <c r="L204" s="82">
        <f t="shared" si="57"/>
        <v>0</v>
      </c>
      <c r="M204" s="82">
        <f t="shared" si="57"/>
        <v>0</v>
      </c>
      <c r="N204" s="82">
        <f t="shared" si="57"/>
        <v>0</v>
      </c>
      <c r="O204" s="82">
        <f t="shared" si="57"/>
        <v>0</v>
      </c>
      <c r="P204" s="168">
        <f t="shared" si="57"/>
        <v>124624.52</v>
      </c>
      <c r="Q204" s="82">
        <f t="shared" si="57"/>
        <v>49465.599999999999</v>
      </c>
      <c r="R204" s="82">
        <f t="shared" si="57"/>
        <v>97468</v>
      </c>
      <c r="S204" s="82">
        <f t="shared" si="57"/>
        <v>0</v>
      </c>
      <c r="T204" s="82">
        <f t="shared" si="57"/>
        <v>17700</v>
      </c>
      <c r="U204" s="82">
        <v>86027.9</v>
      </c>
      <c r="V204" s="82">
        <f t="shared" si="57"/>
        <v>375286.02</v>
      </c>
      <c r="W204" s="82">
        <f t="shared" si="57"/>
        <v>476565.98</v>
      </c>
      <c r="X204" s="73"/>
    </row>
    <row r="205" spans="1:24" s="114" customFormat="1" hidden="1" x14ac:dyDescent="0.2">
      <c r="A205" s="66">
        <v>26</v>
      </c>
      <c r="B205" s="129">
        <v>3</v>
      </c>
      <c r="C205" s="130">
        <v>2</v>
      </c>
      <c r="D205" s="131">
        <v>6</v>
      </c>
      <c r="E205" s="131">
        <v>1</v>
      </c>
      <c r="F205" s="131">
        <v>1</v>
      </c>
      <c r="G205" s="132"/>
      <c r="H205" s="140" t="s">
        <v>315</v>
      </c>
      <c r="I205" s="88">
        <v>468852</v>
      </c>
      <c r="J205" s="88"/>
      <c r="K205" s="88"/>
      <c r="L205" s="88"/>
      <c r="M205" s="88"/>
      <c r="N205" s="88"/>
      <c r="O205" s="88"/>
      <c r="P205" s="88">
        <v>124624.52</v>
      </c>
      <c r="Q205" s="88">
        <v>49465.599999999999</v>
      </c>
      <c r="R205" s="88">
        <v>97468</v>
      </c>
      <c r="S205" s="88"/>
      <c r="T205" s="88"/>
      <c r="U205" s="88"/>
      <c r="V205" s="88">
        <f>SUM(J205:U205)</f>
        <v>271558.12</v>
      </c>
      <c r="W205" s="88">
        <f>I205-V205</f>
        <v>197293.88</v>
      </c>
      <c r="X205" s="73"/>
    </row>
    <row r="206" spans="1:24" s="83" customFormat="1" hidden="1" x14ac:dyDescent="0.2">
      <c r="A206" s="66">
        <v>26</v>
      </c>
      <c r="B206" s="119">
        <v>3</v>
      </c>
      <c r="C206" s="90">
        <v>2</v>
      </c>
      <c r="D206" s="91">
        <v>6</v>
      </c>
      <c r="E206" s="91">
        <v>1</v>
      </c>
      <c r="F206" s="91">
        <v>2</v>
      </c>
      <c r="G206" s="92"/>
      <c r="H206" s="141" t="s">
        <v>316</v>
      </c>
      <c r="I206" s="88">
        <v>0</v>
      </c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>
        <f>SUM(J206:U206)</f>
        <v>0</v>
      </c>
      <c r="W206" s="88">
        <f>I206-V206</f>
        <v>0</v>
      </c>
      <c r="X206" s="73"/>
    </row>
    <row r="207" spans="1:24" s="114" customFormat="1" hidden="1" x14ac:dyDescent="0.2">
      <c r="A207" s="66">
        <v>26</v>
      </c>
      <c r="B207" s="129">
        <v>3</v>
      </c>
      <c r="C207" s="130">
        <v>2</v>
      </c>
      <c r="D207" s="131">
        <v>6</v>
      </c>
      <c r="E207" s="131">
        <v>1</v>
      </c>
      <c r="F207" s="131">
        <v>3</v>
      </c>
      <c r="G207" s="132"/>
      <c r="H207" s="140" t="s">
        <v>317</v>
      </c>
      <c r="I207" s="88">
        <v>280000</v>
      </c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>
        <v>17700</v>
      </c>
      <c r="U207" s="88"/>
      <c r="V207" s="88">
        <f>SUM(J207:U207)</f>
        <v>17700</v>
      </c>
      <c r="W207" s="88">
        <f>I207-V207</f>
        <v>262300</v>
      </c>
      <c r="X207" s="73"/>
    </row>
    <row r="208" spans="1:24" s="114" customFormat="1" ht="16.5" hidden="1" customHeight="1" x14ac:dyDescent="0.2">
      <c r="A208" s="66">
        <v>26</v>
      </c>
      <c r="B208" s="129">
        <v>3</v>
      </c>
      <c r="C208" s="130">
        <v>2</v>
      </c>
      <c r="D208" s="131">
        <v>6</v>
      </c>
      <c r="E208" s="131">
        <v>1</v>
      </c>
      <c r="F208" s="131">
        <v>4</v>
      </c>
      <c r="G208" s="132"/>
      <c r="H208" s="140" t="s">
        <v>318</v>
      </c>
      <c r="I208" s="88">
        <v>88000</v>
      </c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>
        <v>86027.9</v>
      </c>
      <c r="V208" s="88">
        <f>SUM(J208:U208)</f>
        <v>86027.9</v>
      </c>
      <c r="W208" s="88">
        <f>I208-V208</f>
        <v>1972.1000000000058</v>
      </c>
      <c r="X208" s="73"/>
    </row>
    <row r="209" spans="1:24" s="114" customFormat="1" ht="21.75" hidden="1" customHeight="1" x14ac:dyDescent="0.2">
      <c r="A209" s="66">
        <v>26</v>
      </c>
      <c r="B209" s="129">
        <v>3</v>
      </c>
      <c r="C209" s="130">
        <v>2</v>
      </c>
      <c r="D209" s="131">
        <v>6</v>
      </c>
      <c r="E209" s="131">
        <v>1</v>
      </c>
      <c r="F209" s="131">
        <v>9</v>
      </c>
      <c r="G209" s="132"/>
      <c r="H209" s="140" t="s">
        <v>319</v>
      </c>
      <c r="I209" s="88">
        <v>15000</v>
      </c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>
        <f>SUM(J209:U209)</f>
        <v>0</v>
      </c>
      <c r="W209" s="88">
        <f>I209-V209</f>
        <v>15000</v>
      </c>
      <c r="X209" s="73"/>
    </row>
    <row r="210" spans="1:24" s="74" customFormat="1" hidden="1" x14ac:dyDescent="0.2">
      <c r="A210" s="66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3"/>
    </row>
    <row r="211" spans="1:24" s="74" customFormat="1" ht="21.75" hidden="1" x14ac:dyDescent="0.2">
      <c r="A211" s="66">
        <v>26</v>
      </c>
      <c r="B211" s="67">
        <v>2</v>
      </c>
      <c r="C211" s="78">
        <v>2</v>
      </c>
      <c r="D211" s="79">
        <v>6</v>
      </c>
      <c r="E211" s="79">
        <v>2</v>
      </c>
      <c r="F211" s="107"/>
      <c r="G211" s="108"/>
      <c r="H211" s="125" t="s">
        <v>320</v>
      </c>
      <c r="I211" s="82">
        <f t="shared" ref="I211:W211" si="58">I212</f>
        <v>100000</v>
      </c>
      <c r="J211" s="82">
        <f t="shared" si="58"/>
        <v>0</v>
      </c>
      <c r="K211" s="82">
        <f t="shared" si="58"/>
        <v>0</v>
      </c>
      <c r="L211" s="82">
        <f t="shared" si="58"/>
        <v>0</v>
      </c>
      <c r="M211" s="82">
        <f t="shared" si="58"/>
        <v>0</v>
      </c>
      <c r="N211" s="82">
        <f t="shared" si="58"/>
        <v>0</v>
      </c>
      <c r="O211" s="82">
        <f t="shared" si="58"/>
        <v>0</v>
      </c>
      <c r="P211" s="82">
        <f t="shared" si="58"/>
        <v>0</v>
      </c>
      <c r="Q211" s="82">
        <f t="shared" si="58"/>
        <v>0</v>
      </c>
      <c r="R211" s="82">
        <f t="shared" si="58"/>
        <v>0</v>
      </c>
      <c r="S211" s="82">
        <f t="shared" si="58"/>
        <v>0</v>
      </c>
      <c r="T211" s="82">
        <f t="shared" si="58"/>
        <v>0</v>
      </c>
      <c r="U211" s="82">
        <v>0</v>
      </c>
      <c r="V211" s="82">
        <f t="shared" si="58"/>
        <v>0</v>
      </c>
      <c r="W211" s="82">
        <f t="shared" si="58"/>
        <v>100000</v>
      </c>
      <c r="X211" s="73"/>
    </row>
    <row r="212" spans="1:24" s="83" customFormat="1" hidden="1" x14ac:dyDescent="0.2">
      <c r="A212" s="66">
        <v>26</v>
      </c>
      <c r="B212" s="119">
        <v>3</v>
      </c>
      <c r="C212" s="90">
        <v>2</v>
      </c>
      <c r="D212" s="91">
        <v>6</v>
      </c>
      <c r="E212" s="91">
        <v>2</v>
      </c>
      <c r="F212" s="91">
        <v>3</v>
      </c>
      <c r="G212" s="92"/>
      <c r="H212" s="141" t="s">
        <v>321</v>
      </c>
      <c r="I212" s="88">
        <v>100000</v>
      </c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>
        <f>SUM(J212:U212)</f>
        <v>0</v>
      </c>
      <c r="W212" s="88">
        <f>I212-V212</f>
        <v>100000</v>
      </c>
      <c r="X212" s="73"/>
    </row>
    <row r="213" spans="1:24" s="74" customFormat="1" hidden="1" x14ac:dyDescent="0.2">
      <c r="A213" s="66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3"/>
    </row>
    <row r="214" spans="1:24" s="74" customFormat="1" ht="21.75" hidden="1" x14ac:dyDescent="0.2">
      <c r="A214" s="66">
        <v>26</v>
      </c>
      <c r="B214" s="67">
        <v>2</v>
      </c>
      <c r="C214" s="78">
        <v>2</v>
      </c>
      <c r="D214" s="79">
        <v>6</v>
      </c>
      <c r="E214" s="79">
        <v>5</v>
      </c>
      <c r="F214" s="107"/>
      <c r="G214" s="108"/>
      <c r="H214" s="125" t="s">
        <v>322</v>
      </c>
      <c r="I214" s="82">
        <f t="shared" ref="I214:W214" si="59">SUM(I215:I217)</f>
        <v>193000</v>
      </c>
      <c r="J214" s="82">
        <f t="shared" si="59"/>
        <v>0</v>
      </c>
      <c r="K214" s="82">
        <f t="shared" si="59"/>
        <v>0</v>
      </c>
      <c r="L214" s="82">
        <f t="shared" si="59"/>
        <v>0</v>
      </c>
      <c r="M214" s="82">
        <f t="shared" si="59"/>
        <v>0</v>
      </c>
      <c r="N214" s="82">
        <f t="shared" si="59"/>
        <v>0</v>
      </c>
      <c r="O214" s="82">
        <f t="shared" si="59"/>
        <v>0</v>
      </c>
      <c r="P214" s="82">
        <f t="shared" si="59"/>
        <v>0</v>
      </c>
      <c r="Q214" s="82">
        <f t="shared" si="59"/>
        <v>0</v>
      </c>
      <c r="R214" s="82">
        <f t="shared" si="59"/>
        <v>0</v>
      </c>
      <c r="S214" s="82">
        <f t="shared" si="59"/>
        <v>94400</v>
      </c>
      <c r="T214" s="82">
        <f t="shared" si="59"/>
        <v>19824</v>
      </c>
      <c r="U214" s="82">
        <v>0</v>
      </c>
      <c r="V214" s="82">
        <f t="shared" si="59"/>
        <v>114224</v>
      </c>
      <c r="W214" s="82">
        <f t="shared" si="59"/>
        <v>78776</v>
      </c>
      <c r="X214" s="73"/>
    </row>
    <row r="215" spans="1:24" s="74" customFormat="1" ht="21.75" hidden="1" x14ac:dyDescent="0.2">
      <c r="A215" s="66">
        <v>26</v>
      </c>
      <c r="B215" s="67">
        <v>3</v>
      </c>
      <c r="C215" s="78">
        <v>2</v>
      </c>
      <c r="D215" s="79">
        <v>6</v>
      </c>
      <c r="E215" s="79">
        <v>5</v>
      </c>
      <c r="F215" s="107">
        <v>4</v>
      </c>
      <c r="G215" s="108"/>
      <c r="H215" s="125" t="s">
        <v>323</v>
      </c>
      <c r="I215" s="82">
        <v>165000</v>
      </c>
      <c r="J215" s="82"/>
      <c r="K215" s="82"/>
      <c r="L215" s="82"/>
      <c r="M215" s="82"/>
      <c r="N215" s="82"/>
      <c r="O215" s="82"/>
      <c r="P215" s="82"/>
      <c r="Q215" s="82"/>
      <c r="R215" s="82"/>
      <c r="S215" s="82">
        <v>94400</v>
      </c>
      <c r="T215" s="82"/>
      <c r="U215" s="82"/>
      <c r="V215" s="82">
        <f>SUM(J215:U215)</f>
        <v>94400</v>
      </c>
      <c r="W215" s="82">
        <f>I215-V215</f>
        <v>70600</v>
      </c>
      <c r="X215" s="73"/>
    </row>
    <row r="216" spans="1:24" s="74" customFormat="1" hidden="1" x14ac:dyDescent="0.2">
      <c r="A216" s="66">
        <v>26</v>
      </c>
      <c r="B216" s="67">
        <v>4</v>
      </c>
      <c r="C216" s="84">
        <v>2</v>
      </c>
      <c r="D216" s="85">
        <v>6</v>
      </c>
      <c r="E216" s="85">
        <v>5</v>
      </c>
      <c r="F216" s="85">
        <v>6</v>
      </c>
      <c r="G216" s="86" t="s">
        <v>154</v>
      </c>
      <c r="H216" s="118" t="s">
        <v>324</v>
      </c>
      <c r="I216" s="88">
        <v>0</v>
      </c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>
        <f>SUM(J216:U216)</f>
        <v>0</v>
      </c>
      <c r="W216" s="88">
        <f>I216-V216</f>
        <v>0</v>
      </c>
      <c r="X216" s="73"/>
    </row>
    <row r="217" spans="1:24" s="74" customFormat="1" hidden="1" x14ac:dyDescent="0.2">
      <c r="A217" s="66">
        <v>26</v>
      </c>
      <c r="B217" s="67">
        <v>4</v>
      </c>
      <c r="C217" s="84">
        <v>2</v>
      </c>
      <c r="D217" s="85">
        <v>6</v>
      </c>
      <c r="E217" s="85">
        <v>5</v>
      </c>
      <c r="F217" s="85">
        <v>8</v>
      </c>
      <c r="G217" s="86" t="s">
        <v>154</v>
      </c>
      <c r="H217" s="118" t="s">
        <v>325</v>
      </c>
      <c r="I217" s="88">
        <v>28000</v>
      </c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>
        <v>19824</v>
      </c>
      <c r="U217" s="88"/>
      <c r="V217" s="88">
        <f>SUM(J217:U217)</f>
        <v>19824</v>
      </c>
      <c r="W217" s="88">
        <f>I217-V217</f>
        <v>8176</v>
      </c>
      <c r="X217" s="73"/>
    </row>
    <row r="218" spans="1:24" s="74" customFormat="1" hidden="1" x14ac:dyDescent="0.2">
      <c r="A218" s="66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3"/>
    </row>
    <row r="219" spans="1:24" s="142" customFormat="1" hidden="1" x14ac:dyDescent="0.2">
      <c r="A219" s="66">
        <v>26</v>
      </c>
      <c r="B219" s="77">
        <v>2</v>
      </c>
      <c r="C219" s="78">
        <v>2</v>
      </c>
      <c r="D219" s="79">
        <v>6</v>
      </c>
      <c r="E219" s="79">
        <v>6</v>
      </c>
      <c r="F219" s="107"/>
      <c r="G219" s="108"/>
      <c r="H219" s="125"/>
      <c r="I219" s="82">
        <f t="shared" ref="I219:W219" si="60">I220</f>
        <v>258900</v>
      </c>
      <c r="J219" s="82">
        <f t="shared" si="60"/>
        <v>0</v>
      </c>
      <c r="K219" s="82">
        <f t="shared" si="60"/>
        <v>0</v>
      </c>
      <c r="L219" s="82">
        <f t="shared" si="60"/>
        <v>0</v>
      </c>
      <c r="M219" s="82">
        <f t="shared" si="60"/>
        <v>0</v>
      </c>
      <c r="N219" s="82">
        <f t="shared" si="60"/>
        <v>0</v>
      </c>
      <c r="O219" s="82">
        <f t="shared" si="60"/>
        <v>0</v>
      </c>
      <c r="P219" s="82">
        <f t="shared" si="60"/>
        <v>0</v>
      </c>
      <c r="Q219" s="82">
        <f t="shared" si="60"/>
        <v>0</v>
      </c>
      <c r="R219" s="82">
        <f t="shared" si="60"/>
        <v>0</v>
      </c>
      <c r="S219" s="82">
        <f t="shared" si="60"/>
        <v>0</v>
      </c>
      <c r="T219" s="82">
        <f t="shared" si="60"/>
        <v>129406.18</v>
      </c>
      <c r="U219" s="82">
        <v>0</v>
      </c>
      <c r="V219" s="82">
        <f t="shared" si="60"/>
        <v>129406.18</v>
      </c>
      <c r="W219" s="82">
        <f t="shared" si="60"/>
        <v>129493.82</v>
      </c>
      <c r="X219" s="73"/>
    </row>
    <row r="220" spans="1:24" s="74" customFormat="1" hidden="1" x14ac:dyDescent="0.2">
      <c r="A220" s="66">
        <v>26</v>
      </c>
      <c r="B220" s="67">
        <v>4</v>
      </c>
      <c r="C220" s="84">
        <v>2</v>
      </c>
      <c r="D220" s="85">
        <v>6</v>
      </c>
      <c r="E220" s="85">
        <v>6</v>
      </c>
      <c r="F220" s="85">
        <v>2</v>
      </c>
      <c r="G220" s="86" t="s">
        <v>154</v>
      </c>
      <c r="H220" s="118"/>
      <c r="I220" s="88">
        <v>258900</v>
      </c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>
        <v>129406.18</v>
      </c>
      <c r="U220" s="88"/>
      <c r="V220" s="88">
        <f>SUM(J220:U220)</f>
        <v>129406.18</v>
      </c>
      <c r="W220" s="88">
        <f>I220-V220</f>
        <v>129493.82</v>
      </c>
      <c r="X220" s="73"/>
    </row>
    <row r="221" spans="1:24" s="74" customFormat="1" hidden="1" x14ac:dyDescent="0.2">
      <c r="A221" s="66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</row>
    <row r="222" spans="1:24" s="74" customFormat="1" hidden="1" x14ac:dyDescent="0.2">
      <c r="A222" s="66">
        <v>26</v>
      </c>
      <c r="B222" s="67">
        <v>2</v>
      </c>
      <c r="C222" s="78">
        <v>2</v>
      </c>
      <c r="D222" s="79">
        <v>6</v>
      </c>
      <c r="E222" s="79">
        <v>8</v>
      </c>
      <c r="F222" s="107"/>
      <c r="G222" s="108"/>
      <c r="H222" s="125" t="s">
        <v>326</v>
      </c>
      <c r="I222" s="82">
        <f t="shared" ref="I222:W222" si="61">I223+I224+I227+I228</f>
        <v>0</v>
      </c>
      <c r="J222" s="82">
        <f t="shared" si="61"/>
        <v>0</v>
      </c>
      <c r="K222" s="82">
        <f t="shared" si="61"/>
        <v>0</v>
      </c>
      <c r="L222" s="82">
        <f t="shared" si="61"/>
        <v>0</v>
      </c>
      <c r="M222" s="82">
        <f t="shared" si="61"/>
        <v>0</v>
      </c>
      <c r="N222" s="82">
        <f t="shared" si="61"/>
        <v>0</v>
      </c>
      <c r="O222" s="82">
        <f t="shared" si="61"/>
        <v>0</v>
      </c>
      <c r="P222" s="82">
        <f t="shared" si="61"/>
        <v>0</v>
      </c>
      <c r="Q222" s="82">
        <f t="shared" si="61"/>
        <v>0</v>
      </c>
      <c r="R222" s="82">
        <f t="shared" si="61"/>
        <v>0</v>
      </c>
      <c r="S222" s="82">
        <f t="shared" si="61"/>
        <v>0</v>
      </c>
      <c r="T222" s="82">
        <f t="shared" si="61"/>
        <v>0</v>
      </c>
      <c r="U222" s="82">
        <v>0</v>
      </c>
      <c r="V222" s="82">
        <f t="shared" si="61"/>
        <v>0</v>
      </c>
      <c r="W222" s="82">
        <f t="shared" si="61"/>
        <v>0</v>
      </c>
    </row>
    <row r="223" spans="1:24" s="83" customFormat="1" ht="28.5" hidden="1" customHeight="1" x14ac:dyDescent="0.2">
      <c r="A223" s="66">
        <v>26</v>
      </c>
      <c r="B223" s="119">
        <v>3</v>
      </c>
      <c r="C223" s="78">
        <v>2</v>
      </c>
      <c r="D223" s="79">
        <v>6</v>
      </c>
      <c r="E223" s="79">
        <v>8</v>
      </c>
      <c r="F223" s="107">
        <v>1</v>
      </c>
      <c r="G223" s="108"/>
      <c r="H223" s="125" t="s">
        <v>327</v>
      </c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171"/>
      <c r="V223" s="82">
        <f>SUM(J223:U223)</f>
        <v>0</v>
      </c>
      <c r="W223" s="82">
        <f>BR223+Z223</f>
        <v>0</v>
      </c>
    </row>
    <row r="224" spans="1:24" s="83" customFormat="1" hidden="1" x14ac:dyDescent="0.2">
      <c r="A224" s="66">
        <v>26</v>
      </c>
      <c r="B224" s="119">
        <v>3</v>
      </c>
      <c r="C224" s="78">
        <v>2</v>
      </c>
      <c r="D224" s="79">
        <v>6</v>
      </c>
      <c r="E224" s="79">
        <v>8</v>
      </c>
      <c r="F224" s="107">
        <v>3</v>
      </c>
      <c r="G224" s="108"/>
      <c r="H224" s="125" t="s">
        <v>328</v>
      </c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>
        <f>SUM(V225:V226)</f>
        <v>0</v>
      </c>
      <c r="W224" s="82">
        <f>SUM(W225:W226)</f>
        <v>0</v>
      </c>
    </row>
    <row r="225" spans="1:24" s="74" customFormat="1" hidden="1" x14ac:dyDescent="0.2">
      <c r="A225" s="66">
        <v>26</v>
      </c>
      <c r="B225" s="67">
        <v>4</v>
      </c>
      <c r="C225" s="84">
        <v>2</v>
      </c>
      <c r="D225" s="85">
        <v>6</v>
      </c>
      <c r="E225" s="85">
        <v>8</v>
      </c>
      <c r="F225" s="85">
        <v>3</v>
      </c>
      <c r="G225" s="86" t="s">
        <v>154</v>
      </c>
      <c r="H225" s="118" t="s">
        <v>329</v>
      </c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>
        <f>SUM(J225:U225)</f>
        <v>0</v>
      </c>
      <c r="W225" s="88">
        <f>I225-V225</f>
        <v>0</v>
      </c>
    </row>
    <row r="226" spans="1:24" s="74" customFormat="1" hidden="1" x14ac:dyDescent="0.2">
      <c r="A226" s="66">
        <v>26</v>
      </c>
      <c r="B226" s="67">
        <v>4</v>
      </c>
      <c r="C226" s="84">
        <v>2</v>
      </c>
      <c r="D226" s="85">
        <v>6</v>
      </c>
      <c r="E226" s="85">
        <v>8</v>
      </c>
      <c r="F226" s="85">
        <v>3</v>
      </c>
      <c r="G226" s="86" t="s">
        <v>158</v>
      </c>
      <c r="H226" s="118" t="s">
        <v>330</v>
      </c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>
        <f>SUM(J226:U226)</f>
        <v>0</v>
      </c>
      <c r="W226" s="88">
        <f>I226-V226</f>
        <v>0</v>
      </c>
    </row>
    <row r="227" spans="1:24" s="83" customFormat="1" hidden="1" x14ac:dyDescent="0.2">
      <c r="A227" s="66">
        <v>26</v>
      </c>
      <c r="B227" s="119">
        <v>3</v>
      </c>
      <c r="C227" s="90">
        <v>2</v>
      </c>
      <c r="D227" s="91">
        <v>6</v>
      </c>
      <c r="E227" s="91">
        <v>8</v>
      </c>
      <c r="F227" s="91">
        <v>5</v>
      </c>
      <c r="G227" s="92"/>
      <c r="H227" s="141" t="s">
        <v>331</v>
      </c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>
        <f>SUM(J227:U227)</f>
        <v>0</v>
      </c>
      <c r="W227" s="88">
        <f>I227-V227</f>
        <v>0</v>
      </c>
    </row>
    <row r="228" spans="1:24" s="83" customFormat="1" hidden="1" x14ac:dyDescent="0.2">
      <c r="A228" s="76">
        <v>26</v>
      </c>
      <c r="B228" s="119">
        <v>3</v>
      </c>
      <c r="C228" s="78">
        <v>2</v>
      </c>
      <c r="D228" s="79">
        <v>6</v>
      </c>
      <c r="E228" s="79">
        <v>8</v>
      </c>
      <c r="F228" s="79">
        <v>8</v>
      </c>
      <c r="G228" s="143"/>
      <c r="H228" s="125" t="s">
        <v>332</v>
      </c>
      <c r="I228" s="82">
        <f t="shared" ref="I228:W228" si="62">I229</f>
        <v>0</v>
      </c>
      <c r="J228" s="82">
        <f t="shared" si="62"/>
        <v>0</v>
      </c>
      <c r="K228" s="82">
        <f t="shared" si="62"/>
        <v>0</v>
      </c>
      <c r="L228" s="82">
        <f t="shared" si="62"/>
        <v>0</v>
      </c>
      <c r="M228" s="82">
        <f t="shared" si="62"/>
        <v>0</v>
      </c>
      <c r="N228" s="82">
        <f t="shared" si="62"/>
        <v>0</v>
      </c>
      <c r="O228" s="82">
        <f t="shared" si="62"/>
        <v>0</v>
      </c>
      <c r="P228" s="82">
        <f t="shared" si="62"/>
        <v>0</v>
      </c>
      <c r="Q228" s="82">
        <f t="shared" si="62"/>
        <v>0</v>
      </c>
      <c r="R228" s="82">
        <f t="shared" si="62"/>
        <v>0</v>
      </c>
      <c r="S228" s="82">
        <f t="shared" si="62"/>
        <v>0</v>
      </c>
      <c r="T228" s="82">
        <f t="shared" si="62"/>
        <v>0</v>
      </c>
      <c r="U228" s="82">
        <v>0</v>
      </c>
      <c r="V228" s="82">
        <f t="shared" si="62"/>
        <v>0</v>
      </c>
      <c r="W228" s="82">
        <f t="shared" si="62"/>
        <v>0</v>
      </c>
    </row>
    <row r="229" spans="1:24" s="74" customFormat="1" hidden="1" x14ac:dyDescent="0.2">
      <c r="A229" s="66">
        <v>26</v>
      </c>
      <c r="B229" s="67">
        <v>4</v>
      </c>
      <c r="C229" s="84">
        <v>2</v>
      </c>
      <c r="D229" s="85">
        <v>6</v>
      </c>
      <c r="E229" s="85">
        <v>8</v>
      </c>
      <c r="F229" s="85">
        <v>8</v>
      </c>
      <c r="G229" s="86" t="s">
        <v>154</v>
      </c>
      <c r="H229" s="118" t="s">
        <v>333</v>
      </c>
      <c r="I229" s="88">
        <v>0</v>
      </c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>
        <f>SUM(J229:U229)</f>
        <v>0</v>
      </c>
      <c r="W229" s="88">
        <f>I229-V229</f>
        <v>0</v>
      </c>
    </row>
    <row r="230" spans="1:24" s="122" customFormat="1" hidden="1" x14ac:dyDescent="0.2">
      <c r="A230" s="66">
        <v>0</v>
      </c>
      <c r="B230" s="67">
        <v>0</v>
      </c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1:24" s="122" customFormat="1" ht="13.5" hidden="1" thickBot="1" x14ac:dyDescent="0.25">
      <c r="A231" s="113"/>
      <c r="B231" s="121">
        <v>5</v>
      </c>
      <c r="C231" s="401"/>
      <c r="D231" s="402"/>
      <c r="E231" s="402"/>
      <c r="F231" s="402"/>
      <c r="G231" s="403"/>
      <c r="H231" s="145" t="s">
        <v>334</v>
      </c>
      <c r="I231" s="146">
        <f>I16+I61+I133+I188+I202</f>
        <v>66675749.5</v>
      </c>
      <c r="J231" s="146">
        <f t="shared" ref="J231:W231" si="63">J16+J61+J133+J188+J202</f>
        <v>3619243.8499999996</v>
      </c>
      <c r="K231" s="146">
        <f t="shared" si="63"/>
        <v>3716086.6499999994</v>
      </c>
      <c r="L231" s="146">
        <f t="shared" si="63"/>
        <v>3885211.3599999994</v>
      </c>
      <c r="M231" s="146">
        <f t="shared" si="63"/>
        <v>3692367.4299999997</v>
      </c>
      <c r="N231" s="146">
        <f t="shared" si="63"/>
        <v>3770589.19</v>
      </c>
      <c r="O231" s="146">
        <f t="shared" si="63"/>
        <v>3975946.1999999997</v>
      </c>
      <c r="P231" s="146">
        <f t="shared" si="63"/>
        <v>4450346.0499999989</v>
      </c>
      <c r="Q231" s="146">
        <f t="shared" si="63"/>
        <v>4320961.7399999993</v>
      </c>
      <c r="R231" s="146">
        <f t="shared" si="63"/>
        <v>4040924.19</v>
      </c>
      <c r="S231" s="146">
        <f t="shared" si="63"/>
        <v>3939491.3200000003</v>
      </c>
      <c r="T231" s="146">
        <f t="shared" si="63"/>
        <v>10128456.719999999</v>
      </c>
      <c r="U231" s="146">
        <v>4611644.53</v>
      </c>
      <c r="V231" s="146">
        <f t="shared" si="63"/>
        <v>54151269.230000012</v>
      </c>
      <c r="W231" s="146">
        <f t="shared" si="63"/>
        <v>12524480.269999998</v>
      </c>
      <c r="X231" s="147"/>
    </row>
    <row r="232" spans="1:24" s="122" customFormat="1" hidden="1" x14ac:dyDescent="0.2">
      <c r="A232" s="113"/>
      <c r="B232" s="121"/>
    </row>
    <row r="233" spans="1:24" s="173" customFormat="1" hidden="1" x14ac:dyDescent="0.2">
      <c r="A233" s="172"/>
      <c r="B233" s="172">
        <v>5</v>
      </c>
      <c r="H233" s="173" t="s">
        <v>334</v>
      </c>
      <c r="I233" s="173">
        <v>66675749.5</v>
      </c>
      <c r="J233" s="173">
        <v>3619243.8499999996</v>
      </c>
      <c r="K233" s="173">
        <v>3716086.6499999994</v>
      </c>
      <c r="L233" s="173">
        <v>3885211.3599999994</v>
      </c>
      <c r="M233" s="173">
        <v>3692367.4299999997</v>
      </c>
      <c r="N233" s="173">
        <v>3770589.19</v>
      </c>
      <c r="O233" s="173">
        <v>3975946.1999999997</v>
      </c>
      <c r="P233" s="173">
        <v>4450346.0499999989</v>
      </c>
      <c r="Q233" s="173">
        <v>4320961.7399999993</v>
      </c>
      <c r="R233" s="173">
        <v>4040924.19</v>
      </c>
      <c r="S233" s="173">
        <v>3939491.3200000003</v>
      </c>
      <c r="T233" s="173">
        <v>10128456.719999999</v>
      </c>
      <c r="U233" s="173">
        <v>4611644.53</v>
      </c>
      <c r="V233" s="173">
        <v>39411167.979999997</v>
      </c>
      <c r="W233" s="173">
        <v>27264581.52</v>
      </c>
    </row>
    <row r="234" spans="1:24" s="122" customFormat="1" x14ac:dyDescent="0.2">
      <c r="A234" s="113"/>
      <c r="B234" s="121"/>
      <c r="G234" s="148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</row>
    <row r="235" spans="1:24" s="122" customFormat="1" x14ac:dyDescent="0.2">
      <c r="A235" s="113"/>
      <c r="B235" s="121"/>
      <c r="G235" s="148"/>
      <c r="I235" s="217">
        <f>I231-I233</f>
        <v>0</v>
      </c>
      <c r="J235" s="217">
        <f t="shared" ref="J235:W235" si="64">J231-J233</f>
        <v>0</v>
      </c>
      <c r="K235" s="217">
        <f t="shared" si="64"/>
        <v>0</v>
      </c>
      <c r="L235" s="217">
        <f t="shared" si="64"/>
        <v>0</v>
      </c>
      <c r="M235" s="217">
        <f t="shared" si="64"/>
        <v>0</v>
      </c>
      <c r="N235" s="217">
        <f t="shared" si="64"/>
        <v>0</v>
      </c>
      <c r="O235" s="217">
        <f t="shared" si="64"/>
        <v>0</v>
      </c>
      <c r="P235" s="217">
        <f t="shared" si="64"/>
        <v>0</v>
      </c>
      <c r="Q235" s="217">
        <f t="shared" si="64"/>
        <v>0</v>
      </c>
      <c r="R235" s="217">
        <f t="shared" si="64"/>
        <v>0</v>
      </c>
      <c r="S235" s="217">
        <f t="shared" si="64"/>
        <v>0</v>
      </c>
      <c r="T235" s="217">
        <f t="shared" si="64"/>
        <v>0</v>
      </c>
      <c r="U235" s="217">
        <f t="shared" si="64"/>
        <v>0</v>
      </c>
      <c r="V235" s="217">
        <f>V16+V61+V133+V188+V202</f>
        <v>54151269.230000012</v>
      </c>
      <c r="W235" s="217">
        <f t="shared" si="64"/>
        <v>-14740101.250000002</v>
      </c>
    </row>
    <row r="236" spans="1:24" s="149" customFormat="1" ht="11.25" x14ac:dyDescent="0.2">
      <c r="A236" s="150"/>
      <c r="B236" s="151"/>
      <c r="G236" s="152"/>
      <c r="P236" s="153"/>
      <c r="Q236" s="153"/>
    </row>
    <row r="237" spans="1:24" s="149" customFormat="1" ht="11.25" x14ac:dyDescent="0.2">
      <c r="A237" s="150"/>
      <c r="B237" s="151"/>
      <c r="G237" s="63"/>
      <c r="M237" s="153"/>
    </row>
    <row r="238" spans="1:24" s="149" customFormat="1" ht="11.25" x14ac:dyDescent="0.2">
      <c r="A238" s="150"/>
      <c r="B238" s="151"/>
    </row>
    <row r="239" spans="1:24" s="149" customFormat="1" ht="11.25" x14ac:dyDescent="0.2">
      <c r="A239" s="150"/>
      <c r="B239" s="151"/>
      <c r="T239" s="220"/>
    </row>
    <row r="240" spans="1:24" s="149" customFormat="1" ht="11.25" x14ac:dyDescent="0.2">
      <c r="A240" s="150"/>
      <c r="B240" s="151"/>
      <c r="G240" s="154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221"/>
      <c r="U240" s="75"/>
      <c r="V240" s="75"/>
      <c r="W240" s="75"/>
    </row>
    <row r="241" spans="1:23" s="149" customFormat="1" ht="11.25" x14ac:dyDescent="0.2">
      <c r="A241" s="150"/>
      <c r="B241" s="151"/>
      <c r="G241" s="154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221"/>
      <c r="U241" s="75"/>
      <c r="V241" s="75"/>
      <c r="W241" s="75"/>
    </row>
    <row r="242" spans="1:23" s="149" customFormat="1" ht="11.25" x14ac:dyDescent="0.2">
      <c r="A242" s="150"/>
      <c r="B242" s="151"/>
      <c r="G242" s="154"/>
      <c r="I242" s="75"/>
      <c r="J242" s="75"/>
      <c r="K242" s="75"/>
      <c r="L242" s="75"/>
      <c r="M242" s="75"/>
      <c r="N242" s="75"/>
      <c r="O242" s="75"/>
      <c r="P242" s="155"/>
      <c r="Q242" s="75"/>
      <c r="R242" s="75"/>
      <c r="S242" s="75"/>
      <c r="T242" s="221"/>
      <c r="U242" s="75"/>
      <c r="V242" s="75"/>
      <c r="W242" s="75"/>
    </row>
    <row r="243" spans="1:23" s="149" customFormat="1" ht="11.25" x14ac:dyDescent="0.2">
      <c r="A243" s="150"/>
      <c r="B243" s="151"/>
      <c r="G243" s="154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221"/>
      <c r="U243" s="75"/>
      <c r="V243" s="75"/>
      <c r="W243" s="75"/>
    </row>
    <row r="244" spans="1:23" s="149" customFormat="1" ht="11.25" x14ac:dyDescent="0.2">
      <c r="A244" s="150"/>
      <c r="B244" s="151"/>
      <c r="G244" s="154"/>
      <c r="T244" s="220"/>
    </row>
    <row r="245" spans="1:23" s="149" customFormat="1" ht="11.25" x14ac:dyDescent="0.2">
      <c r="A245" s="150"/>
      <c r="B245" s="151"/>
      <c r="G245" s="154"/>
    </row>
    <row r="246" spans="1:23" s="149" customFormat="1" ht="11.25" x14ac:dyDescent="0.2">
      <c r="A246" s="150"/>
      <c r="B246" s="151"/>
      <c r="G246" s="154"/>
    </row>
    <row r="247" spans="1:23" s="149" customFormat="1" ht="11.25" x14ac:dyDescent="0.2">
      <c r="A247" s="150"/>
      <c r="B247" s="151"/>
      <c r="G247" s="154"/>
    </row>
    <row r="248" spans="1:23" s="158" customFormat="1" ht="10.5" x14ac:dyDescent="0.15">
      <c r="A248" s="156"/>
      <c r="B248" s="157"/>
      <c r="G248" s="159"/>
    </row>
    <row r="249" spans="1:23" s="158" customFormat="1" ht="10.5" x14ac:dyDescent="0.15">
      <c r="A249" s="156"/>
      <c r="B249" s="157"/>
      <c r="G249" s="159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</row>
    <row r="250" spans="1:23" s="158" customFormat="1" ht="10.5" x14ac:dyDescent="0.15">
      <c r="A250" s="156"/>
      <c r="B250" s="157"/>
      <c r="G250" s="159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</row>
  </sheetData>
  <sheetProtection formatCells="0" formatColumns="0" formatRows="0" insertColumns="0" autoFilter="0"/>
  <autoFilter ref="A15:NR233" xr:uid="{C0915A77-CD88-4C74-92D9-DDE5DE29DDD3}">
    <filterColumn colId="1">
      <filters>
        <filter val="1"/>
      </filters>
    </filterColumn>
  </autoFilter>
  <mergeCells count="22">
    <mergeCell ref="H6:H15"/>
    <mergeCell ref="C6:C15"/>
    <mergeCell ref="D6:D15"/>
    <mergeCell ref="E6:E15"/>
    <mergeCell ref="F6:F15"/>
    <mergeCell ref="G6:G15"/>
    <mergeCell ref="U6:U15"/>
    <mergeCell ref="V6:V15"/>
    <mergeCell ref="W6:W15"/>
    <mergeCell ref="C231:G231"/>
    <mergeCell ref="O6:O15"/>
    <mergeCell ref="P6:P15"/>
    <mergeCell ref="Q6:Q15"/>
    <mergeCell ref="R6:R15"/>
    <mergeCell ref="S6:S15"/>
    <mergeCell ref="T6:T15"/>
    <mergeCell ref="I6:I15"/>
    <mergeCell ref="J6:J15"/>
    <mergeCell ref="K6:K15"/>
    <mergeCell ref="L6:L15"/>
    <mergeCell ref="M6:M15"/>
    <mergeCell ref="N6:N15"/>
  </mergeCells>
  <pageMargins left="0.23622047244094491" right="0.23622047244094491" top="0.74803149606299213" bottom="0.74803149606299213" header="0.31496062992125984" footer="0.31496062992125984"/>
  <pageSetup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9C4D5-5F28-4E7E-84E8-6D957EF1F830}">
  <dimension ref="A1"/>
  <sheetViews>
    <sheetView workbookViewId="0">
      <selection activeCell="G29" sqref="G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Ejecución</vt:lpstr>
      <vt:lpstr>Plantilla Presupuesto original</vt:lpstr>
      <vt:lpstr>Plantilla Ejecución Nov. Dic</vt:lpstr>
      <vt:lpstr>Plantilla Presupuesto</vt:lpstr>
      <vt:lpstr>Plantilla Ejecución Octubre</vt:lpstr>
      <vt:lpstr>Plantilla Ejecución </vt:lpstr>
      <vt:lpstr>Ejecución 2021</vt:lpstr>
      <vt:lpstr>Hoja1</vt:lpstr>
      <vt:lpstr>Ejecución!Área_de_impresión</vt:lpstr>
      <vt:lpstr>'Plantilla Ejecución '!Área_de_impresión</vt:lpstr>
      <vt:lpstr>'Plantilla Ejecución Nov. Dic'!Área_de_impresión</vt:lpstr>
      <vt:lpstr>'Plantilla Ejecución Octubre'!Área_de_impresión</vt:lpstr>
      <vt:lpstr>'Plantilla Presupuesto original'!Área_de_impresión</vt:lpstr>
      <vt:lpstr>Ejecución!Títulos_a_imprimir</vt:lpstr>
      <vt:lpstr>'Plantilla Ejecución Nov. Dic'!Títulos_a_imprimir</vt:lpstr>
      <vt:lpstr>'Plantilla Ejecución Octubre'!Títulos_a_imprimir</vt:lpstr>
      <vt:lpstr>'Plantilla Presupuesto original'!Títulos_a_imprimir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Mayra Martínez</cp:lastModifiedBy>
  <cp:lastPrinted>2024-02-21T19:35:27Z</cp:lastPrinted>
  <dcterms:created xsi:type="dcterms:W3CDTF">2018-04-17T18:57:16Z</dcterms:created>
  <dcterms:modified xsi:type="dcterms:W3CDTF">2024-02-21T19:46:13Z</dcterms:modified>
</cp:coreProperties>
</file>