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0" windowWidth="15480" windowHeight="10875" tabRatio="699" activeTab="1"/>
  </bookViews>
  <sheets>
    <sheet name="2015 CON PROYECTOS" sheetId="1" r:id="rId1"/>
    <sheet name="2015 SIN PROYECTOS TRISMESTRES" sheetId="2" r:id="rId2"/>
    <sheet name="COMPLETO SIN PROYECTOS" sheetId="3" r:id="rId3"/>
  </sheets>
  <definedNames>
    <definedName name="_xlnm.Print_Area" localSheetId="0">'2015 CON PROYECTOS'!$A$1:$S$210</definedName>
    <definedName name="_xlnm.Print_Area" localSheetId="1">'2015 SIN PROYECTOS TRISMESTRES'!$A$1:$BP$226</definedName>
    <definedName name="_xlnm.Print_Titles" localSheetId="0">'2015 CON PROYECTOS'!$1:$20</definedName>
    <definedName name="_xlnm.Print_Titles" localSheetId="1">'2015 SIN PROYECTOS TRISMESTRES'!$1:$16</definedName>
  </definedNames>
  <calcPr fullCalcOnLoad="1"/>
</workbook>
</file>

<file path=xl/sharedStrings.xml><?xml version="1.0" encoding="utf-8"?>
<sst xmlns="http://schemas.openxmlformats.org/spreadsheetml/2006/main" count="880" uniqueCount="265">
  <si>
    <t>Sueldos fijos</t>
  </si>
  <si>
    <t>Electricidad</t>
  </si>
  <si>
    <t>Agua</t>
  </si>
  <si>
    <t>Alimentos y productos agroforestales</t>
  </si>
  <si>
    <t>Papel de escritorio</t>
  </si>
  <si>
    <t>Combustibles y lubricantes</t>
  </si>
  <si>
    <t>Alimentos y bebidas para personas</t>
  </si>
  <si>
    <t xml:space="preserve"> </t>
  </si>
  <si>
    <t>Pasajes</t>
  </si>
  <si>
    <t>Impuestos, derechos y tasas</t>
  </si>
  <si>
    <t>Sueldos de personal nominal</t>
  </si>
  <si>
    <t>Contribuciones al seguro de salud</t>
  </si>
  <si>
    <t>Productos agroforestales y pecuarios</t>
  </si>
  <si>
    <t xml:space="preserve">  </t>
  </si>
  <si>
    <t>Bono por desempeño</t>
  </si>
  <si>
    <t>Gas GLP</t>
  </si>
  <si>
    <t>Eventos Generales</t>
  </si>
  <si>
    <t>Prima de transporte</t>
  </si>
  <si>
    <t>Remuneraciones al Personal con  Carácter Transitorio</t>
  </si>
  <si>
    <t>Sueldos al personal por servicios especiales</t>
  </si>
  <si>
    <t>Suplencias</t>
  </si>
  <si>
    <t>Sueldos personal contratato  e igualado</t>
  </si>
  <si>
    <t>Sueldo al personal nominal en periodo probatorio</t>
  </si>
  <si>
    <t>Sueldos  al personal fjo en tramite de pensiones</t>
  </si>
  <si>
    <t>Dietas</t>
  </si>
  <si>
    <t>Dietas en el Exterior</t>
  </si>
  <si>
    <t>CONTRIBUCIONES A LA SEGURIDAD SOCIAL</t>
  </si>
  <si>
    <t xml:space="preserve">Contribuciones al seguro de pensiones </t>
  </si>
  <si>
    <t>Contribuciones al seguro de riego laboral</t>
  </si>
  <si>
    <t>Telefax y correos</t>
  </si>
  <si>
    <t>Publicidad y propaganda</t>
  </si>
  <si>
    <t>peaje</t>
  </si>
  <si>
    <t>ALQUILERES Y RENTAS</t>
  </si>
  <si>
    <t>Alquileres y rentas de edificios y locales</t>
  </si>
  <si>
    <t>SEGUROS</t>
  </si>
  <si>
    <t>Seguros de bienes muebles</t>
  </si>
  <si>
    <t xml:space="preserve">Seguros de personas </t>
  </si>
  <si>
    <t>Mantenimientos y reparaciones  de muebles y equipos de oficina</t>
  </si>
  <si>
    <t>Mantenimientos y reparaciones  de equipos para computación</t>
  </si>
  <si>
    <t>Limpieza e higiene</t>
  </si>
  <si>
    <t>Organización de eventos y festividades</t>
  </si>
  <si>
    <t>Impuestos</t>
  </si>
  <si>
    <t>Tasas</t>
  </si>
  <si>
    <t>Productos medicinales para uso humano</t>
  </si>
  <si>
    <t>Productos de vidrio, loza y porcelana</t>
  </si>
  <si>
    <t>Gasolina</t>
  </si>
  <si>
    <t>Gasoil</t>
  </si>
  <si>
    <t>Lubricantes</t>
  </si>
  <si>
    <t>Materiales para limpieza</t>
  </si>
  <si>
    <t xml:space="preserve">Ayudas y Donaciones a Personas </t>
  </si>
  <si>
    <t xml:space="preserve">Ayudas y Donaciones Proramada a Hogares y Personas </t>
  </si>
  <si>
    <t>Becas y Viajes de Estudios</t>
  </si>
  <si>
    <t>Becas Nacionales</t>
  </si>
  <si>
    <t>Becas Extranjeras</t>
  </si>
  <si>
    <t xml:space="preserve">Transferencia Corrientes a Asociaciones sin fines de lucro </t>
  </si>
  <si>
    <t>Transferencia Corrientes a empresas del sector privado</t>
  </si>
  <si>
    <t>REMUNERACIONES Y CONTRIBUCIONES</t>
  </si>
  <si>
    <t>REMUNERACIONES</t>
  </si>
  <si>
    <t>Remuneraciones al personal fijo</t>
  </si>
  <si>
    <t>MATERIALES Y SUMINISTROS</t>
  </si>
  <si>
    <t>TOTAL GENERAL</t>
  </si>
  <si>
    <t>Contratación de obras menores</t>
  </si>
  <si>
    <t>Estudios de ingenierias, arquitectura, investigaciones y analisis de factivilidad</t>
  </si>
  <si>
    <t>TRANSFERENCIAS CORRIENTES</t>
  </si>
  <si>
    <t>TRANSFERENCIAS CORRIENTES AL SECTOR PRIVADO</t>
  </si>
  <si>
    <t>TRANSFERENCIAS CORRIENTES A EMPRESAS PUBLICAS NO FINANCIERA</t>
  </si>
  <si>
    <t>BIENES MUEBLES, INMUEBLES E INTANGIBLES</t>
  </si>
  <si>
    <t>Otros mobiliarios y equipos no identificados precedentemente</t>
  </si>
  <si>
    <t>MOBILIARIO Y EQUIPO EDUCACIONAL Y RECREATIVO</t>
  </si>
  <si>
    <t>BIENES INTANGIBLES</t>
  </si>
  <si>
    <t>Base de datos</t>
  </si>
  <si>
    <t>Impresión y encuadernación</t>
  </si>
  <si>
    <t>Sueldo anual no. 13</t>
  </si>
  <si>
    <t>Prestaciones económicas</t>
  </si>
  <si>
    <t>Pago de porcentajes por desvinculación de cargo</t>
  </si>
  <si>
    <t>Prestación laboral por desvinculación</t>
  </si>
  <si>
    <t>Proporción de vacaciones no disfrutadas</t>
  </si>
  <si>
    <t>Compesación por gastos de alimentación</t>
  </si>
  <si>
    <t>Compensación por horas extraordinarias</t>
  </si>
  <si>
    <t>Pago de horas extraordinarias fin de año (Reglamento 523-09)</t>
  </si>
  <si>
    <t>Compensación por servicios de seguridad</t>
  </si>
  <si>
    <t>Compensación por resultados</t>
  </si>
  <si>
    <t>Compensación por distancias</t>
  </si>
  <si>
    <t>Servicios de telefónicos de larga distancia</t>
  </si>
  <si>
    <t>Servicio de internet y televisión por cable</t>
  </si>
  <si>
    <t xml:space="preserve">Recolección de reciduos solidos </t>
  </si>
  <si>
    <t>Alquiles de equipos de transporte, tracción y elevación</t>
  </si>
  <si>
    <t>Seguro de bienes inmuebles</t>
  </si>
  <si>
    <t>Otros seguros</t>
  </si>
  <si>
    <t>Mantenimiento y reparación de maquinarias y equipos</t>
  </si>
  <si>
    <t>Servicios especiales de mantenimientos y reparación</t>
  </si>
  <si>
    <t>Mantenimientos y reparación de equipo de comunicación</t>
  </si>
  <si>
    <t>Matenimiento y reparación de equipos de transporte, tracción y elevación</t>
  </si>
  <si>
    <t>Gastos judiciales</t>
  </si>
  <si>
    <t>Comisiones y gastos bancarios</t>
  </si>
  <si>
    <t>Fumigación, lavanderia, limpieza e higiene</t>
  </si>
  <si>
    <t>Fumigación</t>
  </si>
  <si>
    <t>Servicios de capacitación</t>
  </si>
  <si>
    <t>Productos forestales</t>
  </si>
  <si>
    <t>TEXTILES Y VESTUARIOS</t>
  </si>
  <si>
    <t>Prendas de vestir</t>
  </si>
  <si>
    <t>Libros,revistas y periódicos</t>
  </si>
  <si>
    <t>Productos y utiles varios no identificados precedentemente (n.i.p.)</t>
  </si>
  <si>
    <t>Ayudas y Donaciones Ocasionales a Hogares y Personas</t>
  </si>
  <si>
    <t>Transferencia corrientes a instituciones descentralizadas y autónomas no finacieras</t>
  </si>
  <si>
    <t>Transferencia corrientes a instituciones descentralizadas y autónomas no finacieras para servicios personales</t>
  </si>
  <si>
    <t>Transferencias corrientes a empresas publicas no financieras nacionales</t>
  </si>
  <si>
    <t>Otras transferecias corrientes a empresas publicas no financieras nacionales</t>
  </si>
  <si>
    <t>MOBILIARIO Y EQUIPO</t>
  </si>
  <si>
    <t>Muebles de alojamiento</t>
  </si>
  <si>
    <t>MAQUINARIAS,  OTROS EQUIPOS Y HERRAMIENTAS</t>
  </si>
  <si>
    <t>Sistemas de aire acondicionados, calefacción y refrigeración industrial y comercial</t>
  </si>
  <si>
    <t>Investigación y Dearrollo</t>
  </si>
  <si>
    <t>Estudios de preinversión</t>
  </si>
  <si>
    <t>Licencias informáticas e intelectuales, industriales y comerciales</t>
  </si>
  <si>
    <t>Informáticas</t>
  </si>
  <si>
    <t xml:space="preserve">Programas de  informática </t>
  </si>
  <si>
    <t>Programas de informáticas y base de datos</t>
  </si>
  <si>
    <t>Cámaras fotográficas  de video</t>
  </si>
  <si>
    <t>Productos de cuero, caucho y plástico</t>
  </si>
  <si>
    <t>Productos de artes gráficas</t>
  </si>
  <si>
    <t xml:space="preserve">Productos de Papel y Cartón </t>
  </si>
  <si>
    <t>PRODUCTOS DE CARTÓN E IMPRESOS</t>
  </si>
  <si>
    <t xml:space="preserve"> SERVICIOS DE CONSERVACIÓN, REPARACIONES MENORES E INSTALACIONES TEMPORALES</t>
  </si>
  <si>
    <t>Viáticos  dentro del país</t>
  </si>
  <si>
    <t>Viáticos Fuera del país</t>
  </si>
  <si>
    <t>Llantas y neumáticos</t>
  </si>
  <si>
    <t>Servicios de informática y sistemas computarizados</t>
  </si>
  <si>
    <t>Dietas en el país</t>
  </si>
  <si>
    <t>Lavandería</t>
  </si>
  <si>
    <t>Servicios jurídicos</t>
  </si>
  <si>
    <t>transferencia para investigación, fomento y desarrollo de la ciencias y la tecnología</t>
  </si>
  <si>
    <t>Electrodomésticos</t>
  </si>
  <si>
    <t>Productos eléctricos y afines</t>
  </si>
  <si>
    <t>Otros servicios técnicos profesionales</t>
  </si>
  <si>
    <t>Servicios técnicos y profesionales</t>
  </si>
  <si>
    <t>Instalaciones eléctricas</t>
  </si>
  <si>
    <t>Energía eléctrica</t>
  </si>
  <si>
    <t>Teléfono local</t>
  </si>
  <si>
    <t>CONTRATACIÓN DE  DE SERVICIOS</t>
  </si>
  <si>
    <t>SERVICIOS BÁSICOS</t>
  </si>
  <si>
    <t>VIÁTICOS</t>
  </si>
  <si>
    <t>COMBUSTIBLE, LUBRICANTES, PRODUCTOS QUÍMICOS Y CONEXOS</t>
  </si>
  <si>
    <t>Artículos de plástico</t>
  </si>
  <si>
    <t>Artículos de caucho</t>
  </si>
  <si>
    <t>Útiles destinados a actividades deportivas y recreativas</t>
  </si>
  <si>
    <t>Útiles de cocina y comedor</t>
  </si>
  <si>
    <t>Muebles  de oficina y estantería</t>
  </si>
  <si>
    <t>Útiles de escritorio, oficina, informática y de enseñanza</t>
  </si>
  <si>
    <t>01</t>
  </si>
  <si>
    <t>02</t>
  </si>
  <si>
    <t>03</t>
  </si>
  <si>
    <t>04</t>
  </si>
  <si>
    <t>05</t>
  </si>
  <si>
    <t>SOBRESUELDOS</t>
  </si>
  <si>
    <t>Compensación</t>
  </si>
  <si>
    <t>06</t>
  </si>
  <si>
    <t>07</t>
  </si>
  <si>
    <t>09</t>
  </si>
  <si>
    <t>PUBLICIDAD, IMPRESIÓN Y ENCUADERNACIÓN</t>
  </si>
  <si>
    <t>DIETAS y GASTOS  DE REPRESENTACIÓN</t>
  </si>
  <si>
    <t>TRANSPORTE Y ALMACENAJE</t>
  </si>
  <si>
    <t xml:space="preserve">Servicios de pintura y derivados con fines de higiene y embellecimiento </t>
  </si>
  <si>
    <t>PRODUCTOS FARMACÉUTICOS</t>
  </si>
  <si>
    <t>PRODUCTOS DE MATERIALES METÁLICOS Y NO METÁLICOS</t>
  </si>
  <si>
    <t xml:space="preserve">PRODUCTOS Y UTILES VARIOS </t>
  </si>
  <si>
    <t>Transferencia Corrientes a Asociaciones sin fines de lucro y partidos políticos</t>
  </si>
  <si>
    <t>VALOR (RD$)</t>
  </si>
  <si>
    <t xml:space="preserve">CONSEJO NACIONAL DE INVESTIGACIONES AGROPECUARAS Y FORESTALES  </t>
  </si>
  <si>
    <t xml:space="preserve">    DIRECCIÓN EJECUTIVA   </t>
  </si>
  <si>
    <t xml:space="preserve">DIVISIÓN DE PLANIFICACIÓN Y DESARROLLO   </t>
  </si>
  <si>
    <t xml:space="preserve">DIVISIÓN ADMINISTRATIVA Y FINANCIERA   </t>
  </si>
  <si>
    <t xml:space="preserve">CONCEPTO  DEFINICION </t>
  </si>
  <si>
    <t xml:space="preserve">AUXILIAR                              </t>
  </si>
  <si>
    <t>SUBCUENTA</t>
  </si>
  <si>
    <t>CUENTA</t>
  </si>
  <si>
    <t>OBJETO</t>
  </si>
  <si>
    <t xml:space="preserve">TIPO        </t>
  </si>
  <si>
    <t xml:space="preserve">  Enc. División de planificación y Desarrollo                                      Enc División Administrativa y Financiera. </t>
  </si>
  <si>
    <t xml:space="preserve">        Ing. Alejandro Gómez Mejia                                                           Lic. Patria Martínez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</si>
  <si>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</si>
  <si>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</si>
  <si>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</si>
  <si>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</si>
  <si>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</si>
  <si>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</si>
  <si>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</si>
  <si>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</si>
  <si>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</si>
  <si>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</si>
  <si>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</si>
  <si>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</si>
  <si>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FORMULACIÓN  PRESUPUESTARIA        </t>
  </si>
  <si>
    <t xml:space="preserve">AÑO 2015       </t>
  </si>
  <si>
    <t xml:space="preserve">Recolección de residuos solidos </t>
  </si>
  <si>
    <t>PRODUCTOS DE CUERO, CAUCHO Y PLASTICO</t>
  </si>
  <si>
    <t>Equipo de Computo</t>
  </si>
  <si>
    <t>DISPONIBLE</t>
  </si>
  <si>
    <t>PROYECTADO</t>
  </si>
  <si>
    <t>EJECUTADO</t>
  </si>
  <si>
    <t>% EJECUTADO</t>
  </si>
  <si>
    <t xml:space="preserve">CONCEPTO  DEFINICIÓN </t>
  </si>
  <si>
    <t>Licencias informáticas e intelectuales</t>
  </si>
  <si>
    <t>Otros mobiliarios y equipos no identificados</t>
  </si>
  <si>
    <t xml:space="preserve">Productos y utiles varios no identificados </t>
  </si>
  <si>
    <t xml:space="preserve">COMBUSTIBLE, LUBRICANTES, PRODUCTOS </t>
  </si>
  <si>
    <t xml:space="preserve">PRODUCTOS DE MATERIALES METÁLICOS </t>
  </si>
  <si>
    <t xml:space="preserve">OTROS SERVICIOS NO INCLUIDOS </t>
  </si>
  <si>
    <t xml:space="preserve">Servicios de pintura y derivados con fines de higiene </t>
  </si>
  <si>
    <t xml:space="preserve"> SERVICIOS DE CONSERVACIÓN, REPARACIONES MENORES</t>
  </si>
  <si>
    <t>TOTAL ACUMULADO EJECUTADO</t>
  </si>
  <si>
    <t>%                             TOTAL ACUMULADO EJECUTADO</t>
  </si>
  <si>
    <t>%  EJECUTADO</t>
  </si>
  <si>
    <t>Gastos de Representación</t>
  </si>
  <si>
    <t>Gastos de Representación en el País</t>
  </si>
  <si>
    <t>Estudios de ingenierias, arquitectura, investigaciones y análisis de factibilidad</t>
  </si>
  <si>
    <t>1ER         TRIMESTRE</t>
  </si>
  <si>
    <t>2DO       TRIMESTRE</t>
  </si>
  <si>
    <t>3ER       TRIMESTRE</t>
  </si>
  <si>
    <t>4TO        TRIMESTRE</t>
  </si>
  <si>
    <t>*Becas Extranjeras</t>
  </si>
  <si>
    <t xml:space="preserve">EJECUCIÓN  PRESUPUESTARIA        </t>
  </si>
  <si>
    <t xml:space="preserve">PRIMER TRIMESTRE AÑO 2015       </t>
  </si>
  <si>
    <t xml:space="preserve">       Lic. Patria Martínez                                                                                                         Enc. División de Administrativa y Financiera                                                      </t>
  </si>
  <si>
    <t>Gastos de Representación             *</t>
  </si>
  <si>
    <t>VIÁTICOS                 *</t>
  </si>
  <si>
    <t>TRANSPORTE Y ALMACENAJE   *</t>
  </si>
  <si>
    <t>Estudios de ingenierias, arquitectura, investigaciones y análisis de factibilidad    *</t>
  </si>
  <si>
    <t>MATERIALES Y SUMINISTROS   *</t>
  </si>
  <si>
    <t>COMBUSTIBLE, LUBRICANTES, PRODUCTOS                                  *</t>
  </si>
  <si>
    <t>TRANSFERENCIAS CORRIENTES AL SECTOR PRIVADO                                *</t>
  </si>
  <si>
    <t>*Becas Extranjeras                      *</t>
  </si>
  <si>
    <t>BIENES INTANGIBLES        *</t>
  </si>
  <si>
    <t>Estudios de preinversión       *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</si>
  <si>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</si>
  <si>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 xml:space="preserve">OCTUBRE </t>
  </si>
  <si>
    <t>festividades</t>
  </si>
  <si>
    <t xml:space="preserve">Prestaciones Economicas </t>
  </si>
  <si>
    <t>1</t>
  </si>
  <si>
    <t>Compensacion por resultados</t>
  </si>
  <si>
    <t>GRATIFICACIONES Y BONIFICACIONES</t>
  </si>
  <si>
    <t xml:space="preserve">Bonificaciones </t>
  </si>
  <si>
    <t xml:space="preserve">otras Bonificaciones </t>
  </si>
  <si>
    <t>Bono Escolar</t>
  </si>
  <si>
    <t>Electrodomestico</t>
  </si>
  <si>
    <t>Mantenimiento y reparación de equipo de comunicación</t>
  </si>
  <si>
    <t>Otros respuestos y accssorios menores</t>
  </si>
  <si>
    <t>Bono para actividades festivas</t>
  </si>
  <si>
    <t>EQUIPO DE DEFENZA Y SEGURIDAD</t>
  </si>
  <si>
    <t>Equipo de defenza</t>
  </si>
  <si>
    <t>,02</t>
  </si>
  <si>
    <t>Productos y utiles varios para activ festivas</t>
  </si>
  <si>
    <t>,01</t>
  </si>
  <si>
    <t>Acabado textiles</t>
  </si>
  <si>
    <t>.06</t>
  </si>
  <si>
    <t>pinturss,lacas,y absorventes para pintura</t>
  </si>
  <si>
    <t>VEHICULOS Y EQUIPOS DE TRANSPORTE, TRACCION Y ELEVACION</t>
  </si>
  <si>
    <t>Automoviles y Camiones</t>
  </si>
  <si>
    <t>SERVICIOS DE CONSERVACIÓN, REPARACIONES MENORES              *</t>
  </si>
  <si>
    <t>Compensacion por horas extraordinarias</t>
  </si>
  <si>
    <t>Herraqmientas y maquinas-herramientas</t>
  </si>
  <si>
    <t>.01</t>
  </si>
  <si>
    <t>&lt;</t>
  </si>
  <si>
    <t>AL 28 DE JULIO 2017</t>
  </si>
  <si>
    <t xml:space="preserve">SEPTIEMBRE   AÑO 2017     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</si>
</sst>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0.0"/>
    <numFmt numFmtId="187" formatCode="_(* #,##0.000_);_(* \(#,##0.000\);_(* &quot;-&quot;??_);_(@_)"/>
    <numFmt numFmtId="188" formatCode="0\1"/>
    <numFmt numFmtId="189" formatCode="[$-1C0A]dddd\,\ dd&quot; de &quot;mmmm&quot; de &quot;yyyy"/>
    <numFmt numFmtId="190" formatCode="[$-1C0A]h:mm:ss\ AM/PM"/>
    <numFmt numFmtId="191" formatCode="00000"/>
    <numFmt numFmtId="192" formatCode="0.0%"/>
    <numFmt numFmtId="193" formatCode="0.000%"/>
    <numFmt numFmtId="194" formatCode="_(* #,##0.0000_);_(* \(#,##0.0000\);_(* &quot;-&quot;??_);_(@_)"/>
    <numFmt numFmtId="195" formatCode="_(* #,##0.00000_);_(* \(#,##0.00000\);_(* &quot;-&quot;??_);_(@_)"/>
    <numFmt numFmtId="196" formatCode="_ [$￥-804]* #,##0.00_ ;_ [$￥-804]* \-#,##0.00_ ;_ [$￥-804]* &quot;-&quot;??_ ;_ @_ "/>
    <numFmt numFmtId="197" formatCode="0\3"/>
  </numFmts>
  <fonts count="7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17"/>
      <name val="Verdana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0"/>
      <name val="Times New Roman"/>
      <family val="1"/>
    </font>
    <font>
      <b/>
      <sz val="10"/>
      <color indexed="10"/>
      <name val="Verdana"/>
      <family val="2"/>
    </font>
    <font>
      <sz val="8"/>
      <color indexed="40"/>
      <name val="Verdana"/>
      <family val="2"/>
    </font>
    <font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00B050"/>
      <name val="Verdana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F0"/>
      <name val="Times New Roman"/>
      <family val="1"/>
    </font>
    <font>
      <b/>
      <sz val="10"/>
      <color rgb="FFFF0000"/>
      <name val="Verdana"/>
      <family val="2"/>
    </font>
    <font>
      <sz val="8"/>
      <color rgb="FF00B0F0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6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1" fontId="5" fillId="0" borderId="0" xfId="48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Alignment="1">
      <alignment horizontal="left" indent="31"/>
    </xf>
    <xf numFmtId="0" fontId="68" fillId="0" borderId="0" xfId="0" applyFont="1" applyAlignment="1">
      <alignment horizontal="left" indent="31"/>
    </xf>
    <xf numFmtId="0" fontId="0" fillId="0" borderId="11" xfId="0" applyBorder="1" applyAlignment="1">
      <alignment/>
    </xf>
    <xf numFmtId="185" fontId="5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171" fontId="5" fillId="34" borderId="13" xfId="48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171" fontId="5" fillId="35" borderId="14" xfId="48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71" fontId="5" fillId="0" borderId="14" xfId="48" applyFont="1" applyBorder="1" applyAlignment="1">
      <alignment/>
    </xf>
    <xf numFmtId="171" fontId="4" fillId="0" borderId="14" xfId="48" applyFont="1" applyBorder="1" applyAlignment="1">
      <alignment/>
    </xf>
    <xf numFmtId="0" fontId="5" fillId="0" borderId="14" xfId="0" applyFont="1" applyBorder="1" applyAlignment="1">
      <alignment horizontal="left"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71" fontId="5" fillId="0" borderId="14" xfId="48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71" fontId="5" fillId="34" borderId="14" xfId="48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71" fontId="4" fillId="0" borderId="15" xfId="48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5" borderId="0" xfId="0" applyFill="1" applyAlignment="1">
      <alignment/>
    </xf>
    <xf numFmtId="171" fontId="0" fillId="0" borderId="0" xfId="48" applyFont="1" applyAlignment="1">
      <alignment/>
    </xf>
    <xf numFmtId="0" fontId="9" fillId="35" borderId="20" xfId="0" applyFont="1" applyFill="1" applyBorder="1" applyAlignment="1">
      <alignment horizontal="left"/>
    </xf>
    <xf numFmtId="171" fontId="9" fillId="35" borderId="20" xfId="48" applyFont="1" applyFill="1" applyBorder="1" applyAlignment="1">
      <alignment/>
    </xf>
    <xf numFmtId="171" fontId="9" fillId="35" borderId="14" xfId="48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5" borderId="11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171" fontId="10" fillId="35" borderId="14" xfId="48" applyFont="1" applyFill="1" applyBorder="1" applyAlignment="1">
      <alignment/>
    </xf>
    <xf numFmtId="9" fontId="9" fillId="35" borderId="13" xfId="54" applyFont="1" applyFill="1" applyBorder="1" applyAlignment="1">
      <alignment horizontal="center"/>
    </xf>
    <xf numFmtId="0" fontId="10" fillId="35" borderId="14" xfId="0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192" fontId="0" fillId="0" borderId="0" xfId="0" applyNumberFormat="1" applyAlignment="1">
      <alignment horizontal="center" vertical="center"/>
    </xf>
    <xf numFmtId="9" fontId="0" fillId="0" borderId="0" xfId="54" applyFont="1" applyAlignment="1">
      <alignment horizontal="center"/>
    </xf>
    <xf numFmtId="0" fontId="69" fillId="0" borderId="0" xfId="0" applyFont="1" applyAlignment="1">
      <alignment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/>
    </xf>
    <xf numFmtId="171" fontId="10" fillId="35" borderId="21" xfId="48" applyFont="1" applyFill="1" applyBorder="1" applyAlignment="1">
      <alignment/>
    </xf>
    <xf numFmtId="192" fontId="9" fillId="35" borderId="22" xfId="48" applyNumberFormat="1" applyFont="1" applyFill="1" applyBorder="1" applyAlignment="1">
      <alignment/>
    </xf>
    <xf numFmtId="171" fontId="9" fillId="35" borderId="23" xfId="48" applyFont="1" applyFill="1" applyBorder="1" applyAlignment="1">
      <alignment/>
    </xf>
    <xf numFmtId="171" fontId="9" fillId="35" borderId="13" xfId="48" applyFont="1" applyFill="1" applyBorder="1" applyAlignment="1">
      <alignment/>
    </xf>
    <xf numFmtId="9" fontId="9" fillId="35" borderId="24" xfId="54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49" fontId="10" fillId="35" borderId="27" xfId="0" applyNumberFormat="1" applyFont="1" applyFill="1" applyBorder="1" applyAlignment="1">
      <alignment/>
    </xf>
    <xf numFmtId="171" fontId="9" fillId="35" borderId="22" xfId="48" applyFont="1" applyFill="1" applyBorder="1" applyAlignment="1">
      <alignment/>
    </xf>
    <xf numFmtId="171" fontId="9" fillId="35" borderId="24" xfId="48" applyFont="1" applyFill="1" applyBorder="1" applyAlignment="1">
      <alignment/>
    </xf>
    <xf numFmtId="171" fontId="10" fillId="35" borderId="15" xfId="48" applyFont="1" applyFill="1" applyBorder="1" applyAlignment="1">
      <alignment/>
    </xf>
    <xf numFmtId="171" fontId="10" fillId="35" borderId="28" xfId="48" applyFont="1" applyFill="1" applyBorder="1" applyAlignment="1">
      <alignment/>
    </xf>
    <xf numFmtId="192" fontId="9" fillId="35" borderId="20" xfId="48" applyNumberFormat="1" applyFont="1" applyFill="1" applyBorder="1" applyAlignment="1">
      <alignment horizontal="center"/>
    </xf>
    <xf numFmtId="171" fontId="10" fillId="35" borderId="29" xfId="48" applyFont="1" applyFill="1" applyBorder="1" applyAlignment="1">
      <alignment/>
    </xf>
    <xf numFmtId="171" fontId="10" fillId="35" borderId="20" xfId="48" applyFont="1" applyFill="1" applyBorder="1" applyAlignment="1">
      <alignment/>
    </xf>
    <xf numFmtId="9" fontId="9" fillId="35" borderId="20" xfId="54" applyFont="1" applyFill="1" applyBorder="1" applyAlignment="1">
      <alignment horizontal="center"/>
    </xf>
    <xf numFmtId="0" fontId="10" fillId="35" borderId="20" xfId="0" applyFont="1" applyFill="1" applyBorder="1" applyAlignment="1">
      <alignment/>
    </xf>
    <xf numFmtId="192" fontId="9" fillId="35" borderId="30" xfId="48" applyNumberFormat="1" applyFont="1" applyFill="1" applyBorder="1" applyAlignment="1">
      <alignment/>
    </xf>
    <xf numFmtId="171" fontId="9" fillId="35" borderId="28" xfId="48" applyFont="1" applyFill="1" applyBorder="1" applyAlignment="1">
      <alignment/>
    </xf>
    <xf numFmtId="9" fontId="9" fillId="35" borderId="31" xfId="54" applyFont="1" applyFill="1" applyBorder="1" applyAlignment="1">
      <alignment horizontal="center"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171" fontId="9" fillId="35" borderId="15" xfId="48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171" fontId="9" fillId="35" borderId="21" xfId="48" applyFont="1" applyFill="1" applyBorder="1" applyAlignment="1">
      <alignment/>
    </xf>
    <xf numFmtId="171" fontId="10" fillId="35" borderId="32" xfId="48" applyFont="1" applyFill="1" applyBorder="1" applyAlignment="1">
      <alignment/>
    </xf>
    <xf numFmtId="171" fontId="9" fillId="35" borderId="32" xfId="48" applyFont="1" applyFill="1" applyBorder="1" applyAlignment="1">
      <alignment/>
    </xf>
    <xf numFmtId="9" fontId="9" fillId="35" borderId="14" xfId="54" applyFont="1" applyFill="1" applyBorder="1" applyAlignment="1">
      <alignment horizontal="center"/>
    </xf>
    <xf numFmtId="9" fontId="9" fillId="35" borderId="15" xfId="54" applyFont="1" applyFill="1" applyBorder="1" applyAlignment="1">
      <alignment horizontal="center"/>
    </xf>
    <xf numFmtId="171" fontId="69" fillId="0" borderId="0" xfId="48" applyFont="1" applyAlignment="1">
      <alignment/>
    </xf>
    <xf numFmtId="192" fontId="10" fillId="35" borderId="14" xfId="48" applyNumberFormat="1" applyFont="1" applyFill="1" applyBorder="1" applyAlignment="1">
      <alignment horizontal="center"/>
    </xf>
    <xf numFmtId="192" fontId="9" fillId="35" borderId="14" xfId="48" applyNumberFormat="1" applyFont="1" applyFill="1" applyBorder="1" applyAlignment="1">
      <alignment horizontal="center"/>
    </xf>
    <xf numFmtId="192" fontId="9" fillId="35" borderId="15" xfId="48" applyNumberFormat="1" applyFont="1" applyFill="1" applyBorder="1" applyAlignment="1">
      <alignment horizontal="center"/>
    </xf>
    <xf numFmtId="9" fontId="10" fillId="35" borderId="13" xfId="54" applyFont="1" applyFill="1" applyBorder="1" applyAlignment="1">
      <alignment horizontal="center"/>
    </xf>
    <xf numFmtId="192" fontId="10" fillId="35" borderId="22" xfId="48" applyNumberFormat="1" applyFont="1" applyFill="1" applyBorder="1" applyAlignment="1">
      <alignment/>
    </xf>
    <xf numFmtId="171" fontId="10" fillId="35" borderId="23" xfId="48" applyFont="1" applyFill="1" applyBorder="1" applyAlignment="1">
      <alignment/>
    </xf>
    <xf numFmtId="171" fontId="10" fillId="35" borderId="13" xfId="48" applyFont="1" applyFill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9" fontId="10" fillId="35" borderId="14" xfId="54" applyFont="1" applyFill="1" applyBorder="1" applyAlignment="1">
      <alignment horizontal="center"/>
    </xf>
    <xf numFmtId="0" fontId="0" fillId="35" borderId="0" xfId="0" applyFont="1" applyFill="1" applyAlignment="1">
      <alignment/>
    </xf>
    <xf numFmtId="171" fontId="10" fillId="35" borderId="33" xfId="48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1" fontId="10" fillId="35" borderId="34" xfId="48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horizontal="center" wrapText="1"/>
    </xf>
    <xf numFmtId="185" fontId="9" fillId="35" borderId="0" xfId="0" applyNumberFormat="1" applyFont="1" applyFill="1" applyBorder="1" applyAlignment="1">
      <alignment/>
    </xf>
    <xf numFmtId="192" fontId="9" fillId="35" borderId="0" xfId="48" applyNumberFormat="1" applyFont="1" applyFill="1" applyBorder="1" applyAlignment="1">
      <alignment horizontal="center"/>
    </xf>
    <xf numFmtId="9" fontId="9" fillId="35" borderId="0" xfId="54" applyFont="1" applyFill="1" applyBorder="1" applyAlignment="1">
      <alignment horizontal="center"/>
    </xf>
    <xf numFmtId="192" fontId="9" fillId="35" borderId="0" xfId="0" applyNumberFormat="1" applyFont="1" applyFill="1" applyBorder="1" applyAlignment="1">
      <alignment horizontal="center" vertical="center"/>
    </xf>
    <xf numFmtId="171" fontId="9" fillId="35" borderId="0" xfId="48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0" xfId="0" applyFont="1" applyFill="1" applyBorder="1" applyAlignment="1">
      <alignment horizontal="left" wrapText="1"/>
    </xf>
    <xf numFmtId="0" fontId="71" fillId="0" borderId="0" xfId="0" applyFont="1" applyAlignment="1">
      <alignment horizontal="left"/>
    </xf>
    <xf numFmtId="171" fontId="0" fillId="0" borderId="0" xfId="48" applyFont="1" applyAlignment="1">
      <alignment/>
    </xf>
    <xf numFmtId="49" fontId="10" fillId="35" borderId="17" xfId="0" applyNumberFormat="1" applyFont="1" applyFill="1" applyBorder="1" applyAlignment="1">
      <alignment/>
    </xf>
    <xf numFmtId="0" fontId="10" fillId="35" borderId="20" xfId="0" applyFont="1" applyFill="1" applyBorder="1" applyAlignment="1">
      <alignment wrapText="1"/>
    </xf>
    <xf numFmtId="0" fontId="10" fillId="35" borderId="35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49" fontId="10" fillId="35" borderId="37" xfId="0" applyNumberFormat="1" applyFont="1" applyFill="1" applyBorder="1" applyAlignment="1">
      <alignment/>
    </xf>
    <xf numFmtId="0" fontId="10" fillId="35" borderId="38" xfId="0" applyFont="1" applyFill="1" applyBorder="1" applyAlignment="1">
      <alignment wrapText="1"/>
    </xf>
    <xf numFmtId="171" fontId="10" fillId="35" borderId="38" xfId="48" applyFont="1" applyFill="1" applyBorder="1" applyAlignment="1">
      <alignment/>
    </xf>
    <xf numFmtId="171" fontId="10" fillId="35" borderId="39" xfId="48" applyFont="1" applyFill="1" applyBorder="1" applyAlignment="1">
      <alignment/>
    </xf>
    <xf numFmtId="192" fontId="9" fillId="35" borderId="38" xfId="48" applyNumberFormat="1" applyFont="1" applyFill="1" applyBorder="1" applyAlignment="1">
      <alignment horizontal="center"/>
    </xf>
    <xf numFmtId="171" fontId="10" fillId="35" borderId="40" xfId="48" applyFont="1" applyFill="1" applyBorder="1" applyAlignment="1">
      <alignment/>
    </xf>
    <xf numFmtId="9" fontId="9" fillId="35" borderId="12" xfId="54" applyFont="1" applyFill="1" applyBorder="1" applyAlignment="1">
      <alignment horizontal="center"/>
    </xf>
    <xf numFmtId="192" fontId="9" fillId="35" borderId="41" xfId="48" applyNumberFormat="1" applyFont="1" applyFill="1" applyBorder="1" applyAlignment="1">
      <alignment/>
    </xf>
    <xf numFmtId="171" fontId="9" fillId="35" borderId="41" xfId="48" applyFont="1" applyFill="1" applyBorder="1" applyAlignment="1">
      <alignment/>
    </xf>
    <xf numFmtId="0" fontId="10" fillId="35" borderId="38" xfId="0" applyFont="1" applyFill="1" applyBorder="1" applyAlignment="1">
      <alignment/>
    </xf>
    <xf numFmtId="171" fontId="9" fillId="35" borderId="12" xfId="48" applyFont="1" applyFill="1" applyBorder="1" applyAlignment="1">
      <alignment/>
    </xf>
    <xf numFmtId="9" fontId="9" fillId="35" borderId="38" xfId="54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 vertical="center" wrapText="1"/>
    </xf>
    <xf numFmtId="171" fontId="9" fillId="35" borderId="31" xfId="48" applyFont="1" applyFill="1" applyBorder="1" applyAlignment="1">
      <alignment horizontal="center" vertical="center"/>
    </xf>
    <xf numFmtId="171" fontId="9" fillId="35" borderId="31" xfId="48" applyFont="1" applyFill="1" applyBorder="1" applyAlignment="1">
      <alignment horizontal="center" vertical="center" wrapText="1"/>
    </xf>
    <xf numFmtId="192" fontId="9" fillId="35" borderId="31" xfId="48" applyNumberFormat="1" applyFont="1" applyFill="1" applyBorder="1" applyAlignment="1">
      <alignment horizontal="center" vertical="center" wrapText="1"/>
    </xf>
    <xf numFmtId="9" fontId="9" fillId="35" borderId="31" xfId="54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171" fontId="9" fillId="35" borderId="24" xfId="48" applyFont="1" applyFill="1" applyBorder="1" applyAlignment="1">
      <alignment horizontal="center" vertical="center"/>
    </xf>
    <xf numFmtId="171" fontId="9" fillId="35" borderId="24" xfId="48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9" fillId="35" borderId="12" xfId="0" applyFont="1" applyFill="1" applyBorder="1" applyAlignment="1">
      <alignment horizontal="left" wrapText="1"/>
    </xf>
    <xf numFmtId="192" fontId="9" fillId="35" borderId="12" xfId="48" applyNumberFormat="1" applyFont="1" applyFill="1" applyBorder="1" applyAlignment="1">
      <alignment horizontal="center"/>
    </xf>
    <xf numFmtId="171" fontId="9" fillId="35" borderId="45" xfId="48" applyFont="1" applyFill="1" applyBorder="1" applyAlignment="1">
      <alignment/>
    </xf>
    <xf numFmtId="192" fontId="10" fillId="35" borderId="12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/>
    </xf>
    <xf numFmtId="185" fontId="10" fillId="35" borderId="14" xfId="0" applyNumberFormat="1" applyFont="1" applyFill="1" applyBorder="1" applyAlignment="1">
      <alignment/>
    </xf>
    <xf numFmtId="192" fontId="10" fillId="35" borderId="2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/>
    </xf>
    <xf numFmtId="171" fontId="9" fillId="35" borderId="33" xfId="48" applyFont="1" applyFill="1" applyBorder="1" applyAlignment="1">
      <alignment/>
    </xf>
    <xf numFmtId="192" fontId="10" fillId="35" borderId="14" xfId="0" applyNumberFormat="1" applyFont="1" applyFill="1" applyBorder="1" applyAlignment="1">
      <alignment horizontal="center" vertical="center"/>
    </xf>
    <xf numFmtId="185" fontId="10" fillId="35" borderId="33" xfId="0" applyNumberFormat="1" applyFont="1" applyFill="1" applyBorder="1" applyAlignment="1">
      <alignment/>
    </xf>
    <xf numFmtId="49" fontId="9" fillId="35" borderId="11" xfId="0" applyNumberFormat="1" applyFont="1" applyFill="1" applyBorder="1" applyAlignment="1">
      <alignment/>
    </xf>
    <xf numFmtId="192" fontId="9" fillId="35" borderId="14" xfId="0" applyNumberFormat="1" applyFont="1" applyFill="1" applyBorder="1" applyAlignment="1">
      <alignment horizontal="center" vertical="center"/>
    </xf>
    <xf numFmtId="185" fontId="9" fillId="35" borderId="14" xfId="0" applyNumberFormat="1" applyFont="1" applyFill="1" applyBorder="1" applyAlignment="1">
      <alignment/>
    </xf>
    <xf numFmtId="185" fontId="10" fillId="35" borderId="15" xfId="0" applyNumberFormat="1" applyFont="1" applyFill="1" applyBorder="1" applyAlignment="1">
      <alignment/>
    </xf>
    <xf numFmtId="192" fontId="10" fillId="35" borderId="15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/>
    </xf>
    <xf numFmtId="185" fontId="9" fillId="35" borderId="45" xfId="0" applyNumberFormat="1" applyFont="1" applyFill="1" applyBorder="1" applyAlignment="1">
      <alignment/>
    </xf>
    <xf numFmtId="185" fontId="10" fillId="35" borderId="20" xfId="0" applyNumberFormat="1" applyFont="1" applyFill="1" applyBorder="1" applyAlignment="1">
      <alignment/>
    </xf>
    <xf numFmtId="171" fontId="72" fillId="35" borderId="14" xfId="48" applyFont="1" applyFill="1" applyBorder="1" applyAlignment="1">
      <alignment/>
    </xf>
    <xf numFmtId="171" fontId="72" fillId="35" borderId="21" xfId="48" applyFont="1" applyFill="1" applyBorder="1" applyAlignment="1">
      <alignment/>
    </xf>
    <xf numFmtId="192" fontId="72" fillId="35" borderId="14" xfId="48" applyNumberFormat="1" applyFont="1" applyFill="1" applyBorder="1" applyAlignment="1">
      <alignment horizontal="center"/>
    </xf>
    <xf numFmtId="171" fontId="72" fillId="35" borderId="33" xfId="48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8" xfId="0" applyFont="1" applyFill="1" applyBorder="1" applyAlignment="1">
      <alignment horizontal="left" wrapText="1"/>
    </xf>
    <xf numFmtId="171" fontId="9" fillId="35" borderId="38" xfId="48" applyFont="1" applyFill="1" applyBorder="1" applyAlignment="1">
      <alignment/>
    </xf>
    <xf numFmtId="171" fontId="9" fillId="35" borderId="39" xfId="48" applyFont="1" applyFill="1" applyBorder="1" applyAlignment="1">
      <alignment/>
    </xf>
    <xf numFmtId="171" fontId="9" fillId="35" borderId="40" xfId="48" applyFont="1" applyFill="1" applyBorder="1" applyAlignment="1">
      <alignment/>
    </xf>
    <xf numFmtId="185" fontId="10" fillId="35" borderId="38" xfId="0" applyNumberFormat="1" applyFont="1" applyFill="1" applyBorder="1" applyAlignment="1">
      <alignment/>
    </xf>
    <xf numFmtId="192" fontId="10" fillId="35" borderId="38" xfId="0" applyNumberFormat="1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171" fontId="9" fillId="35" borderId="34" xfId="48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171" fontId="9" fillId="35" borderId="10" xfId="48" applyFont="1" applyFill="1" applyBorder="1" applyAlignment="1">
      <alignment/>
    </xf>
    <xf numFmtId="192" fontId="9" fillId="35" borderId="10" xfId="48" applyNumberFormat="1" applyFont="1" applyFill="1" applyBorder="1" applyAlignment="1">
      <alignment horizontal="center"/>
    </xf>
    <xf numFmtId="9" fontId="9" fillId="35" borderId="10" xfId="54" applyFont="1" applyFill="1" applyBorder="1" applyAlignment="1">
      <alignment horizontal="center"/>
    </xf>
    <xf numFmtId="185" fontId="10" fillId="35" borderId="10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 horizontal="center" vertical="center"/>
    </xf>
    <xf numFmtId="192" fontId="9" fillId="35" borderId="10" xfId="48" applyNumberFormat="1" applyFont="1" applyFill="1" applyBorder="1" applyAlignment="1">
      <alignment/>
    </xf>
    <xf numFmtId="171" fontId="10" fillId="35" borderId="10" xfId="48" applyFont="1" applyFill="1" applyBorder="1" applyAlignment="1">
      <alignment/>
    </xf>
    <xf numFmtId="185" fontId="9" fillId="35" borderId="10" xfId="0" applyNumberFormat="1" applyFont="1" applyFill="1" applyBorder="1" applyAlignment="1">
      <alignment/>
    </xf>
    <xf numFmtId="0" fontId="9" fillId="35" borderId="46" xfId="0" applyFont="1" applyFill="1" applyBorder="1" applyAlignment="1">
      <alignment/>
    </xf>
    <xf numFmtId="0" fontId="9" fillId="35" borderId="47" xfId="0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9" fillId="35" borderId="31" xfId="0" applyFont="1" applyFill="1" applyBorder="1" applyAlignment="1">
      <alignment wrapText="1"/>
    </xf>
    <xf numFmtId="171" fontId="9" fillId="35" borderId="31" xfId="48" applyFont="1" applyFill="1" applyBorder="1" applyAlignment="1">
      <alignment/>
    </xf>
    <xf numFmtId="171" fontId="9" fillId="35" borderId="30" xfId="48" applyFont="1" applyFill="1" applyBorder="1" applyAlignment="1">
      <alignment/>
    </xf>
    <xf numFmtId="192" fontId="9" fillId="35" borderId="31" xfId="48" applyNumberFormat="1" applyFont="1" applyFill="1" applyBorder="1" applyAlignment="1">
      <alignment horizontal="center"/>
    </xf>
    <xf numFmtId="171" fontId="9" fillId="35" borderId="49" xfId="48" applyFont="1" applyFill="1" applyBorder="1" applyAlignment="1">
      <alignment/>
    </xf>
    <xf numFmtId="185" fontId="10" fillId="35" borderId="31" xfId="0" applyNumberFormat="1" applyFont="1" applyFill="1" applyBorder="1" applyAlignment="1">
      <alignment/>
    </xf>
    <xf numFmtId="192" fontId="10" fillId="35" borderId="31" xfId="0" applyNumberFormat="1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/>
    </xf>
    <xf numFmtId="171" fontId="10" fillId="35" borderId="31" xfId="48" applyFont="1" applyFill="1" applyBorder="1" applyAlignment="1">
      <alignment/>
    </xf>
    <xf numFmtId="171" fontId="10" fillId="35" borderId="30" xfId="48" applyFont="1" applyFill="1" applyBorder="1" applyAlignment="1">
      <alignment/>
    </xf>
    <xf numFmtId="0" fontId="9" fillId="35" borderId="38" xfId="0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/>
    </xf>
    <xf numFmtId="171" fontId="9" fillId="35" borderId="29" xfId="48" applyFont="1" applyFill="1" applyBorder="1" applyAlignment="1">
      <alignment/>
    </xf>
    <xf numFmtId="0" fontId="9" fillId="35" borderId="12" xfId="0" applyFont="1" applyFill="1" applyBorder="1" applyAlignment="1">
      <alignment horizontal="center" wrapText="1"/>
    </xf>
    <xf numFmtId="185" fontId="9" fillId="35" borderId="12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left" wrapText="1"/>
    </xf>
    <xf numFmtId="0" fontId="9" fillId="35" borderId="20" xfId="0" applyFont="1" applyFill="1" applyBorder="1" applyAlignment="1">
      <alignment vertical="center" wrapText="1"/>
    </xf>
    <xf numFmtId="0" fontId="10" fillId="35" borderId="37" xfId="0" applyFont="1" applyFill="1" applyBorder="1" applyAlignment="1">
      <alignment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0" fontId="9" fillId="35" borderId="43" xfId="0" applyFont="1" applyFill="1" applyBorder="1" applyAlignment="1">
      <alignment wrapText="1"/>
    </xf>
    <xf numFmtId="171" fontId="9" fillId="35" borderId="12" xfId="48" applyFont="1" applyFill="1" applyBorder="1" applyAlignment="1">
      <alignment wrapText="1"/>
    </xf>
    <xf numFmtId="171" fontId="9" fillId="35" borderId="41" xfId="48" applyFont="1" applyFill="1" applyBorder="1" applyAlignment="1">
      <alignment wrapText="1"/>
    </xf>
    <xf numFmtId="192" fontId="9" fillId="35" borderId="12" xfId="48" applyNumberFormat="1" applyFont="1" applyFill="1" applyBorder="1" applyAlignment="1">
      <alignment horizontal="center" wrapText="1"/>
    </xf>
    <xf numFmtId="171" fontId="9" fillId="35" borderId="45" xfId="48" applyFont="1" applyFill="1" applyBorder="1" applyAlignment="1">
      <alignment wrapText="1"/>
    </xf>
    <xf numFmtId="9" fontId="9" fillId="35" borderId="12" xfId="54" applyFont="1" applyFill="1" applyBorder="1" applyAlignment="1">
      <alignment horizontal="center" wrapText="1"/>
    </xf>
    <xf numFmtId="192" fontId="10" fillId="35" borderId="12" xfId="0" applyNumberFormat="1" applyFont="1" applyFill="1" applyBorder="1" applyAlignment="1">
      <alignment horizontal="center" vertical="center" wrapText="1"/>
    </xf>
    <xf numFmtId="192" fontId="9" fillId="35" borderId="41" xfId="48" applyNumberFormat="1" applyFont="1" applyFill="1" applyBorder="1" applyAlignment="1">
      <alignment wrapText="1"/>
    </xf>
    <xf numFmtId="0" fontId="9" fillId="35" borderId="18" xfId="0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171" fontId="9" fillId="35" borderId="20" xfId="48" applyFont="1" applyFill="1" applyBorder="1" applyAlignment="1">
      <alignment wrapText="1"/>
    </xf>
    <xf numFmtId="171" fontId="10" fillId="35" borderId="28" xfId="48" applyFont="1" applyFill="1" applyBorder="1" applyAlignment="1">
      <alignment wrapText="1"/>
    </xf>
    <xf numFmtId="192" fontId="9" fillId="35" borderId="20" xfId="48" applyNumberFormat="1" applyFont="1" applyFill="1" applyBorder="1" applyAlignment="1">
      <alignment horizontal="center" wrapText="1"/>
    </xf>
    <xf numFmtId="171" fontId="10" fillId="35" borderId="29" xfId="48" applyFont="1" applyFill="1" applyBorder="1" applyAlignment="1">
      <alignment wrapText="1"/>
    </xf>
    <xf numFmtId="171" fontId="10" fillId="35" borderId="20" xfId="48" applyFont="1" applyFill="1" applyBorder="1" applyAlignment="1">
      <alignment wrapText="1"/>
    </xf>
    <xf numFmtId="9" fontId="9" fillId="35" borderId="20" xfId="54" applyFont="1" applyFill="1" applyBorder="1" applyAlignment="1">
      <alignment horizontal="center" wrapText="1"/>
    </xf>
    <xf numFmtId="185" fontId="10" fillId="35" borderId="14" xfId="0" applyNumberFormat="1" applyFont="1" applyFill="1" applyBorder="1" applyAlignment="1">
      <alignment wrapText="1"/>
    </xf>
    <xf numFmtId="192" fontId="10" fillId="35" borderId="20" xfId="0" applyNumberFormat="1" applyFont="1" applyFill="1" applyBorder="1" applyAlignment="1">
      <alignment horizontal="center" vertical="center" wrapText="1"/>
    </xf>
    <xf numFmtId="192" fontId="9" fillId="35" borderId="30" xfId="48" applyNumberFormat="1" applyFont="1" applyFill="1" applyBorder="1" applyAlignment="1">
      <alignment wrapText="1"/>
    </xf>
    <xf numFmtId="171" fontId="9" fillId="35" borderId="28" xfId="48" applyFont="1" applyFill="1" applyBorder="1" applyAlignment="1">
      <alignment wrapText="1"/>
    </xf>
    <xf numFmtId="9" fontId="9" fillId="35" borderId="31" xfId="54" applyFont="1" applyFill="1" applyBorder="1" applyAlignment="1">
      <alignment horizontal="center" wrapText="1"/>
    </xf>
    <xf numFmtId="185" fontId="10" fillId="35" borderId="29" xfId="0" applyNumberFormat="1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171" fontId="9" fillId="35" borderId="14" xfId="48" applyFont="1" applyFill="1" applyBorder="1" applyAlignment="1">
      <alignment wrapText="1"/>
    </xf>
    <xf numFmtId="171" fontId="9" fillId="35" borderId="21" xfId="48" applyFont="1" applyFill="1" applyBorder="1" applyAlignment="1">
      <alignment wrapText="1"/>
    </xf>
    <xf numFmtId="192" fontId="9" fillId="35" borderId="14" xfId="48" applyNumberFormat="1" applyFont="1" applyFill="1" applyBorder="1" applyAlignment="1">
      <alignment horizontal="center" wrapText="1"/>
    </xf>
    <xf numFmtId="171" fontId="9" fillId="35" borderId="33" xfId="48" applyFont="1" applyFill="1" applyBorder="1" applyAlignment="1">
      <alignment wrapText="1"/>
    </xf>
    <xf numFmtId="9" fontId="9" fillId="35" borderId="13" xfId="54" applyFont="1" applyFill="1" applyBorder="1" applyAlignment="1">
      <alignment horizontal="center" wrapText="1"/>
    </xf>
    <xf numFmtId="192" fontId="10" fillId="35" borderId="14" xfId="0" applyNumberFormat="1" applyFont="1" applyFill="1" applyBorder="1" applyAlignment="1">
      <alignment horizontal="center" vertical="center" wrapText="1"/>
    </xf>
    <xf numFmtId="192" fontId="9" fillId="35" borderId="22" xfId="48" applyNumberFormat="1" applyFont="1" applyFill="1" applyBorder="1" applyAlignment="1">
      <alignment wrapText="1"/>
    </xf>
    <xf numFmtId="171" fontId="9" fillId="35" borderId="23" xfId="48" applyFont="1" applyFill="1" applyBorder="1" applyAlignment="1">
      <alignment wrapText="1"/>
    </xf>
    <xf numFmtId="171" fontId="9" fillId="35" borderId="13" xfId="48" applyFont="1" applyFill="1" applyBorder="1" applyAlignment="1">
      <alignment wrapText="1"/>
    </xf>
    <xf numFmtId="9" fontId="9" fillId="35" borderId="14" xfId="54" applyFont="1" applyFill="1" applyBorder="1" applyAlignment="1">
      <alignment horizontal="center" wrapText="1"/>
    </xf>
    <xf numFmtId="185" fontId="9" fillId="35" borderId="33" xfId="0" applyNumberFormat="1" applyFont="1" applyFill="1" applyBorder="1" applyAlignment="1">
      <alignment wrapText="1"/>
    </xf>
    <xf numFmtId="0" fontId="10" fillId="35" borderId="19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171" fontId="10" fillId="35" borderId="14" xfId="48" applyFont="1" applyFill="1" applyBorder="1" applyAlignment="1">
      <alignment wrapText="1"/>
    </xf>
    <xf numFmtId="192" fontId="10" fillId="35" borderId="14" xfId="48" applyNumberFormat="1" applyFont="1" applyFill="1" applyBorder="1" applyAlignment="1">
      <alignment horizontal="center" wrapText="1"/>
    </xf>
    <xf numFmtId="171" fontId="10" fillId="35" borderId="33" xfId="48" applyFont="1" applyFill="1" applyBorder="1" applyAlignment="1">
      <alignment wrapText="1"/>
    </xf>
    <xf numFmtId="9" fontId="10" fillId="35" borderId="13" xfId="54" applyFont="1" applyFill="1" applyBorder="1" applyAlignment="1">
      <alignment horizontal="center" wrapText="1"/>
    </xf>
    <xf numFmtId="171" fontId="10" fillId="35" borderId="21" xfId="48" applyFont="1" applyFill="1" applyBorder="1" applyAlignment="1">
      <alignment wrapText="1"/>
    </xf>
    <xf numFmtId="192" fontId="10" fillId="35" borderId="22" xfId="48" applyNumberFormat="1" applyFont="1" applyFill="1" applyBorder="1" applyAlignment="1">
      <alignment wrapText="1"/>
    </xf>
    <xf numFmtId="171" fontId="10" fillId="35" borderId="23" xfId="48" applyFont="1" applyFill="1" applyBorder="1" applyAlignment="1">
      <alignment wrapText="1"/>
    </xf>
    <xf numFmtId="171" fontId="10" fillId="35" borderId="13" xfId="48" applyFont="1" applyFill="1" applyBorder="1" applyAlignment="1">
      <alignment wrapText="1"/>
    </xf>
    <xf numFmtId="185" fontId="10" fillId="35" borderId="33" xfId="0" applyNumberFormat="1" applyFont="1" applyFill="1" applyBorder="1" applyAlignment="1">
      <alignment wrapText="1"/>
    </xf>
    <xf numFmtId="171" fontId="73" fillId="35" borderId="33" xfId="48" applyFont="1" applyFill="1" applyBorder="1" applyAlignment="1">
      <alignment wrapText="1"/>
    </xf>
    <xf numFmtId="192" fontId="9" fillId="35" borderId="14" xfId="0" applyNumberFormat="1" applyFont="1" applyFill="1" applyBorder="1" applyAlignment="1">
      <alignment horizontal="center" vertical="center" wrapText="1"/>
    </xf>
    <xf numFmtId="185" fontId="9" fillId="35" borderId="14" xfId="0" applyNumberFormat="1" applyFont="1" applyFill="1" applyBorder="1" applyAlignment="1">
      <alignment wrapText="1"/>
    </xf>
    <xf numFmtId="171" fontId="74" fillId="35" borderId="33" xfId="48" applyFont="1" applyFill="1" applyBorder="1" applyAlignment="1">
      <alignment wrapText="1"/>
    </xf>
    <xf numFmtId="0" fontId="9" fillId="35" borderId="25" xfId="0" applyFont="1" applyFill="1" applyBorder="1" applyAlignment="1">
      <alignment wrapText="1"/>
    </xf>
    <xf numFmtId="0" fontId="9" fillId="35" borderId="26" xfId="0" applyFont="1" applyFill="1" applyBorder="1" applyAlignment="1">
      <alignment wrapText="1"/>
    </xf>
    <xf numFmtId="171" fontId="9" fillId="35" borderId="15" xfId="48" applyFont="1" applyFill="1" applyBorder="1" applyAlignment="1">
      <alignment wrapText="1"/>
    </xf>
    <xf numFmtId="171" fontId="10" fillId="35" borderId="32" xfId="48" applyFont="1" applyFill="1" applyBorder="1" applyAlignment="1">
      <alignment wrapText="1"/>
    </xf>
    <xf numFmtId="192" fontId="9" fillId="35" borderId="15" xfId="48" applyNumberFormat="1" applyFont="1" applyFill="1" applyBorder="1" applyAlignment="1">
      <alignment horizontal="center" wrapText="1"/>
    </xf>
    <xf numFmtId="171" fontId="10" fillId="35" borderId="34" xfId="48" applyFont="1" applyFill="1" applyBorder="1" applyAlignment="1">
      <alignment wrapText="1"/>
    </xf>
    <xf numFmtId="171" fontId="10" fillId="35" borderId="15" xfId="48" applyFont="1" applyFill="1" applyBorder="1" applyAlignment="1">
      <alignment wrapText="1"/>
    </xf>
    <xf numFmtId="9" fontId="9" fillId="35" borderId="24" xfId="54" applyFont="1" applyFill="1" applyBorder="1" applyAlignment="1">
      <alignment horizontal="center" wrapText="1"/>
    </xf>
    <xf numFmtId="185" fontId="10" fillId="35" borderId="15" xfId="0" applyNumberFormat="1" applyFont="1" applyFill="1" applyBorder="1" applyAlignment="1">
      <alignment wrapText="1"/>
    </xf>
    <xf numFmtId="192" fontId="10" fillId="35" borderId="15" xfId="0" applyNumberFormat="1" applyFont="1" applyFill="1" applyBorder="1" applyAlignment="1">
      <alignment horizontal="center" vertical="center" wrapText="1"/>
    </xf>
    <xf numFmtId="171" fontId="9" fillId="35" borderId="22" xfId="48" applyFont="1" applyFill="1" applyBorder="1" applyAlignment="1">
      <alignment wrapText="1"/>
    </xf>
    <xf numFmtId="171" fontId="9" fillId="35" borderId="24" xfId="48" applyFont="1" applyFill="1" applyBorder="1" applyAlignment="1">
      <alignment wrapText="1"/>
    </xf>
    <xf numFmtId="171" fontId="9" fillId="35" borderId="32" xfId="48" applyFont="1" applyFill="1" applyBorder="1" applyAlignment="1">
      <alignment wrapText="1"/>
    </xf>
    <xf numFmtId="185" fontId="10" fillId="35" borderId="34" xfId="0" applyNumberFormat="1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 wrapText="1"/>
    </xf>
    <xf numFmtId="185" fontId="9" fillId="35" borderId="45" xfId="0" applyNumberFormat="1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185" fontId="10" fillId="35" borderId="20" xfId="0" applyNumberFormat="1" applyFont="1" applyFill="1" applyBorder="1" applyAlignment="1">
      <alignment wrapText="1"/>
    </xf>
    <xf numFmtId="171" fontId="72" fillId="35" borderId="14" xfId="48" applyFont="1" applyFill="1" applyBorder="1" applyAlignment="1">
      <alignment wrapText="1"/>
    </xf>
    <xf numFmtId="171" fontId="72" fillId="35" borderId="21" xfId="48" applyFont="1" applyFill="1" applyBorder="1" applyAlignment="1">
      <alignment wrapText="1"/>
    </xf>
    <xf numFmtId="192" fontId="72" fillId="35" borderId="14" xfId="48" applyNumberFormat="1" applyFont="1" applyFill="1" applyBorder="1" applyAlignment="1">
      <alignment horizontal="center" wrapText="1"/>
    </xf>
    <xf numFmtId="171" fontId="72" fillId="35" borderId="33" xfId="48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36" xfId="0" applyFont="1" applyFill="1" applyBorder="1" applyAlignment="1">
      <alignment wrapText="1"/>
    </xf>
    <xf numFmtId="171" fontId="9" fillId="35" borderId="38" xfId="48" applyFont="1" applyFill="1" applyBorder="1" applyAlignment="1">
      <alignment wrapText="1"/>
    </xf>
    <xf numFmtId="171" fontId="9" fillId="35" borderId="39" xfId="48" applyFont="1" applyFill="1" applyBorder="1" applyAlignment="1">
      <alignment wrapText="1"/>
    </xf>
    <xf numFmtId="192" fontId="9" fillId="35" borderId="38" xfId="48" applyNumberFormat="1" applyFont="1" applyFill="1" applyBorder="1" applyAlignment="1">
      <alignment horizontal="center" wrapText="1"/>
    </xf>
    <xf numFmtId="171" fontId="9" fillId="35" borderId="40" xfId="48" applyFont="1" applyFill="1" applyBorder="1" applyAlignment="1">
      <alignment wrapText="1"/>
    </xf>
    <xf numFmtId="185" fontId="10" fillId="35" borderId="38" xfId="0" applyNumberFormat="1" applyFont="1" applyFill="1" applyBorder="1" applyAlignment="1">
      <alignment wrapText="1"/>
    </xf>
    <xf numFmtId="192" fontId="10" fillId="35" borderId="38" xfId="0" applyNumberFormat="1" applyFont="1" applyFill="1" applyBorder="1" applyAlignment="1">
      <alignment horizontal="center" vertical="center" wrapText="1"/>
    </xf>
    <xf numFmtId="171" fontId="10" fillId="35" borderId="38" xfId="48" applyFont="1" applyFill="1" applyBorder="1" applyAlignment="1">
      <alignment wrapText="1"/>
    </xf>
    <xf numFmtId="171" fontId="10" fillId="35" borderId="39" xfId="48" applyFont="1" applyFill="1" applyBorder="1" applyAlignment="1">
      <alignment wrapText="1"/>
    </xf>
    <xf numFmtId="9" fontId="9" fillId="35" borderId="38" xfId="54" applyFont="1" applyFill="1" applyBorder="1" applyAlignment="1">
      <alignment horizontal="center" wrapText="1"/>
    </xf>
    <xf numFmtId="185" fontId="9" fillId="35" borderId="40" xfId="0" applyNumberFormat="1" applyFont="1" applyFill="1" applyBorder="1" applyAlignment="1">
      <alignment wrapText="1"/>
    </xf>
    <xf numFmtId="171" fontId="9" fillId="35" borderId="34" xfId="48" applyFont="1" applyFill="1" applyBorder="1" applyAlignment="1">
      <alignment wrapText="1"/>
    </xf>
    <xf numFmtId="9" fontId="9" fillId="35" borderId="15" xfId="54" applyFont="1" applyFill="1" applyBorder="1" applyAlignment="1">
      <alignment horizontal="center" wrapText="1"/>
    </xf>
    <xf numFmtId="185" fontId="9" fillId="35" borderId="34" xfId="0" applyNumberFormat="1" applyFont="1" applyFill="1" applyBorder="1" applyAlignment="1">
      <alignment wrapText="1"/>
    </xf>
    <xf numFmtId="171" fontId="10" fillId="35" borderId="40" xfId="48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 wrapText="1"/>
    </xf>
    <xf numFmtId="185" fontId="10" fillId="35" borderId="40" xfId="0" applyNumberFormat="1" applyFont="1" applyFill="1" applyBorder="1" applyAlignment="1">
      <alignment wrapText="1"/>
    </xf>
    <xf numFmtId="171" fontId="9" fillId="35" borderId="29" xfId="48" applyFont="1" applyFill="1" applyBorder="1" applyAlignment="1">
      <alignment wrapText="1"/>
    </xf>
    <xf numFmtId="185" fontId="9" fillId="35" borderId="29" xfId="0" applyNumberFormat="1" applyFont="1" applyFill="1" applyBorder="1" applyAlignment="1">
      <alignment wrapText="1"/>
    </xf>
    <xf numFmtId="0" fontId="10" fillId="35" borderId="35" xfId="0" applyFont="1" applyFill="1" applyBorder="1" applyAlignment="1">
      <alignment wrapText="1"/>
    </xf>
    <xf numFmtId="0" fontId="10" fillId="35" borderId="36" xfId="0" applyFont="1" applyFill="1" applyBorder="1" applyAlignment="1">
      <alignment wrapText="1"/>
    </xf>
    <xf numFmtId="0" fontId="10" fillId="35" borderId="18" xfId="0" applyFont="1" applyFill="1" applyBorder="1" applyAlignment="1">
      <alignment wrapText="1"/>
    </xf>
    <xf numFmtId="0" fontId="10" fillId="35" borderId="25" xfId="0" applyFont="1" applyFill="1" applyBorder="1" applyAlignment="1">
      <alignment wrapText="1"/>
    </xf>
    <xf numFmtId="0" fontId="10" fillId="35" borderId="26" xfId="0" applyFont="1" applyFill="1" applyBorder="1" applyAlignment="1">
      <alignment wrapText="1"/>
    </xf>
    <xf numFmtId="171" fontId="9" fillId="35" borderId="10" xfId="48" applyFont="1" applyFill="1" applyBorder="1" applyAlignment="1">
      <alignment wrapText="1"/>
    </xf>
    <xf numFmtId="192" fontId="9" fillId="35" borderId="10" xfId="48" applyNumberFormat="1" applyFont="1" applyFill="1" applyBorder="1" applyAlignment="1">
      <alignment horizontal="center" wrapText="1"/>
    </xf>
    <xf numFmtId="9" fontId="9" fillId="35" borderId="10" xfId="54" applyFont="1" applyFill="1" applyBorder="1" applyAlignment="1">
      <alignment horizontal="center" wrapText="1"/>
    </xf>
    <xf numFmtId="185" fontId="10" fillId="35" borderId="10" xfId="0" applyNumberFormat="1" applyFont="1" applyFill="1" applyBorder="1" applyAlignment="1">
      <alignment wrapText="1"/>
    </xf>
    <xf numFmtId="192" fontId="10" fillId="35" borderId="10" xfId="0" applyNumberFormat="1" applyFont="1" applyFill="1" applyBorder="1" applyAlignment="1">
      <alignment horizontal="center" vertical="center" wrapText="1"/>
    </xf>
    <xf numFmtId="192" fontId="9" fillId="35" borderId="10" xfId="48" applyNumberFormat="1" applyFont="1" applyFill="1" applyBorder="1" applyAlignment="1">
      <alignment wrapText="1"/>
    </xf>
    <xf numFmtId="171" fontId="10" fillId="35" borderId="10" xfId="48" applyFont="1" applyFill="1" applyBorder="1" applyAlignment="1">
      <alignment wrapText="1"/>
    </xf>
    <xf numFmtId="185" fontId="9" fillId="35" borderId="10" xfId="0" applyNumberFormat="1" applyFont="1" applyFill="1" applyBorder="1" applyAlignment="1">
      <alignment wrapText="1"/>
    </xf>
    <xf numFmtId="0" fontId="9" fillId="35" borderId="46" xfId="0" applyFont="1" applyFill="1" applyBorder="1" applyAlignment="1">
      <alignment wrapText="1"/>
    </xf>
    <xf numFmtId="0" fontId="9" fillId="35" borderId="47" xfId="0" applyFont="1" applyFill="1" applyBorder="1" applyAlignment="1">
      <alignment wrapText="1"/>
    </xf>
    <xf numFmtId="171" fontId="9" fillId="35" borderId="31" xfId="48" applyFont="1" applyFill="1" applyBorder="1" applyAlignment="1">
      <alignment wrapText="1"/>
    </xf>
    <xf numFmtId="171" fontId="9" fillId="35" borderId="30" xfId="48" applyFont="1" applyFill="1" applyBorder="1" applyAlignment="1">
      <alignment wrapText="1"/>
    </xf>
    <xf numFmtId="192" fontId="9" fillId="35" borderId="31" xfId="48" applyNumberFormat="1" applyFont="1" applyFill="1" applyBorder="1" applyAlignment="1">
      <alignment horizontal="center" wrapText="1"/>
    </xf>
    <xf numFmtId="171" fontId="9" fillId="35" borderId="49" xfId="48" applyFont="1" applyFill="1" applyBorder="1" applyAlignment="1">
      <alignment wrapText="1"/>
    </xf>
    <xf numFmtId="185" fontId="10" fillId="35" borderId="31" xfId="0" applyNumberFormat="1" applyFont="1" applyFill="1" applyBorder="1" applyAlignment="1">
      <alignment wrapText="1"/>
    </xf>
    <xf numFmtId="192" fontId="10" fillId="35" borderId="31" xfId="0" applyNumberFormat="1" applyFont="1" applyFill="1" applyBorder="1" applyAlignment="1">
      <alignment horizontal="center" vertical="center" wrapText="1"/>
    </xf>
    <xf numFmtId="171" fontId="10" fillId="35" borderId="31" xfId="48" applyFont="1" applyFill="1" applyBorder="1" applyAlignment="1">
      <alignment wrapText="1"/>
    </xf>
    <xf numFmtId="171" fontId="10" fillId="35" borderId="30" xfId="48" applyFont="1" applyFill="1" applyBorder="1" applyAlignment="1">
      <alignment wrapText="1"/>
    </xf>
    <xf numFmtId="185" fontId="9" fillId="35" borderId="49" xfId="0" applyNumberFormat="1" applyFont="1" applyFill="1" applyBorder="1" applyAlignment="1">
      <alignment wrapText="1"/>
    </xf>
    <xf numFmtId="171" fontId="74" fillId="35" borderId="45" xfId="48" applyFont="1" applyFill="1" applyBorder="1" applyAlignment="1">
      <alignment wrapText="1"/>
    </xf>
    <xf numFmtId="185" fontId="9" fillId="35" borderId="12" xfId="0" applyNumberFormat="1" applyFont="1" applyFill="1" applyBorder="1" applyAlignment="1">
      <alignment wrapText="1"/>
    </xf>
    <xf numFmtId="185" fontId="9" fillId="35" borderId="41" xfId="0" applyNumberFormat="1" applyFont="1" applyFill="1" applyBorder="1" applyAlignment="1">
      <alignment wrapText="1"/>
    </xf>
    <xf numFmtId="185" fontId="9" fillId="35" borderId="0" xfId="0" applyNumberFormat="1" applyFont="1" applyFill="1" applyBorder="1" applyAlignment="1">
      <alignment wrapText="1"/>
    </xf>
    <xf numFmtId="192" fontId="9" fillId="35" borderId="0" xfId="48" applyNumberFormat="1" applyFont="1" applyFill="1" applyBorder="1" applyAlignment="1">
      <alignment horizontal="center" wrapText="1"/>
    </xf>
    <xf numFmtId="9" fontId="9" fillId="35" borderId="0" xfId="54" applyFont="1" applyFill="1" applyBorder="1" applyAlignment="1">
      <alignment horizontal="center" wrapText="1"/>
    </xf>
    <xf numFmtId="192" fontId="9" fillId="35" borderId="0" xfId="0" applyNumberFormat="1" applyFont="1" applyFill="1" applyBorder="1" applyAlignment="1">
      <alignment horizontal="center" vertical="center" wrapText="1"/>
    </xf>
    <xf numFmtId="171" fontId="9" fillId="35" borderId="0" xfId="48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171" fontId="0" fillId="0" borderId="0" xfId="48" applyFont="1" applyAlignment="1">
      <alignment wrapText="1"/>
    </xf>
    <xf numFmtId="192" fontId="0" fillId="0" borderId="0" xfId="0" applyNumberFormat="1" applyAlignment="1">
      <alignment horizontal="center" vertical="center" wrapText="1"/>
    </xf>
    <xf numFmtId="171" fontId="0" fillId="0" borderId="0" xfId="48" applyFont="1" applyAlignment="1">
      <alignment wrapText="1"/>
    </xf>
    <xf numFmtId="9" fontId="0" fillId="0" borderId="0" xfId="54" applyFont="1" applyAlignment="1">
      <alignment horizontal="center" wrapText="1"/>
    </xf>
    <xf numFmtId="171" fontId="69" fillId="0" borderId="0" xfId="48" applyFont="1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4" fillId="0" borderId="0" xfId="0" applyFont="1" applyAlignment="1">
      <alignment wrapText="1"/>
    </xf>
    <xf numFmtId="185" fontId="12" fillId="35" borderId="0" xfId="0" applyNumberFormat="1" applyFont="1" applyFill="1" applyBorder="1" applyAlignment="1">
      <alignment wrapText="1"/>
    </xf>
    <xf numFmtId="0" fontId="15" fillId="35" borderId="44" xfId="0" applyFont="1" applyFill="1" applyBorder="1" applyAlignment="1">
      <alignment wrapText="1"/>
    </xf>
    <xf numFmtId="0" fontId="15" fillId="35" borderId="17" xfId="0" applyFont="1" applyFill="1" applyBorder="1" applyAlignment="1">
      <alignment wrapText="1"/>
    </xf>
    <xf numFmtId="0" fontId="15" fillId="35" borderId="11" xfId="0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wrapText="1"/>
    </xf>
    <xf numFmtId="0" fontId="16" fillId="35" borderId="11" xfId="0" applyFont="1" applyFill="1" applyBorder="1" applyAlignment="1">
      <alignment wrapText="1"/>
    </xf>
    <xf numFmtId="49" fontId="15" fillId="35" borderId="11" xfId="0" applyNumberFormat="1" applyFont="1" applyFill="1" applyBorder="1" applyAlignment="1">
      <alignment wrapText="1"/>
    </xf>
    <xf numFmtId="0" fontId="16" fillId="35" borderId="2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5" fillId="35" borderId="37" xfId="0" applyFont="1" applyFill="1" applyBorder="1" applyAlignment="1">
      <alignment wrapText="1"/>
    </xf>
    <xf numFmtId="0" fontId="15" fillId="35" borderId="27" xfId="0" applyFont="1" applyFill="1" applyBorder="1" applyAlignment="1">
      <alignment wrapText="1"/>
    </xf>
    <xf numFmtId="0" fontId="16" fillId="35" borderId="37" xfId="0" applyFont="1" applyFill="1" applyBorder="1" applyAlignment="1">
      <alignment wrapText="1"/>
    </xf>
    <xf numFmtId="49" fontId="16" fillId="35" borderId="37" xfId="0" applyNumberFormat="1" applyFont="1" applyFill="1" applyBorder="1" applyAlignment="1">
      <alignment wrapText="1"/>
    </xf>
    <xf numFmtId="49" fontId="16" fillId="35" borderId="17" xfId="0" applyNumberFormat="1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0" fontId="15" fillId="35" borderId="48" xfId="0" applyFont="1" applyFill="1" applyBorder="1" applyAlignment="1">
      <alignment wrapText="1"/>
    </xf>
    <xf numFmtId="49" fontId="16" fillId="35" borderId="27" xfId="0" applyNumberFormat="1" applyFont="1" applyFill="1" applyBorder="1" applyAlignment="1">
      <alignment wrapText="1"/>
    </xf>
    <xf numFmtId="0" fontId="16" fillId="35" borderId="45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85" fontId="10" fillId="35" borderId="28" xfId="0" applyNumberFormat="1" applyFont="1" applyFill="1" applyBorder="1" applyAlignment="1">
      <alignment/>
    </xf>
    <xf numFmtId="185" fontId="10" fillId="35" borderId="21" xfId="0" applyNumberFormat="1" applyFont="1" applyFill="1" applyBorder="1" applyAlignment="1">
      <alignment/>
    </xf>
    <xf numFmtId="185" fontId="10" fillId="35" borderId="32" xfId="0" applyNumberFormat="1" applyFont="1" applyFill="1" applyBorder="1" applyAlignment="1">
      <alignment/>
    </xf>
    <xf numFmtId="185" fontId="9" fillId="35" borderId="21" xfId="0" applyNumberFormat="1" applyFont="1" applyFill="1" applyBorder="1" applyAlignment="1">
      <alignment/>
    </xf>
    <xf numFmtId="185" fontId="10" fillId="35" borderId="0" xfId="0" applyNumberFormat="1" applyFont="1" applyFill="1" applyBorder="1" applyAlignment="1">
      <alignment/>
    </xf>
    <xf numFmtId="185" fontId="10" fillId="35" borderId="11" xfId="0" applyNumberFormat="1" applyFont="1" applyFill="1" applyBorder="1" applyAlignment="1">
      <alignment/>
    </xf>
    <xf numFmtId="171" fontId="9" fillId="35" borderId="11" xfId="48" applyFont="1" applyFill="1" applyBorder="1" applyAlignment="1">
      <alignment/>
    </xf>
    <xf numFmtId="185" fontId="9" fillId="35" borderId="11" xfId="0" applyNumberFormat="1" applyFont="1" applyFill="1" applyBorder="1" applyAlignment="1">
      <alignment/>
    </xf>
    <xf numFmtId="185" fontId="10" fillId="35" borderId="39" xfId="0" applyNumberFormat="1" applyFont="1" applyFill="1" applyBorder="1" applyAlignment="1">
      <alignment/>
    </xf>
    <xf numFmtId="171" fontId="72" fillId="35" borderId="10" xfId="48" applyFont="1" applyFill="1" applyBorder="1" applyAlignment="1">
      <alignment/>
    </xf>
    <xf numFmtId="185" fontId="10" fillId="35" borderId="30" xfId="0" applyNumberFormat="1" applyFont="1" applyFill="1" applyBorder="1" applyAlignment="1">
      <alignment/>
    </xf>
    <xf numFmtId="171" fontId="9" fillId="35" borderId="26" xfId="48" applyFont="1" applyFill="1" applyBorder="1" applyAlignment="1">
      <alignment/>
    </xf>
    <xf numFmtId="171" fontId="10" fillId="35" borderId="11" xfId="48" applyFont="1" applyFill="1" applyBorder="1" applyAlignment="1">
      <alignment/>
    </xf>
    <xf numFmtId="185" fontId="10" fillId="35" borderId="51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9" fontId="10" fillId="35" borderId="20" xfId="54" applyFont="1" applyFill="1" applyBorder="1" applyAlignment="1">
      <alignment horizontal="center"/>
    </xf>
    <xf numFmtId="185" fontId="75" fillId="35" borderId="0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171" fontId="76" fillId="0" borderId="0" xfId="48" applyFont="1" applyAlignment="1">
      <alignment/>
    </xf>
    <xf numFmtId="185" fontId="0" fillId="0" borderId="0" xfId="0" applyNumberFormat="1" applyAlignment="1">
      <alignment/>
    </xf>
    <xf numFmtId="171" fontId="9" fillId="35" borderId="27" xfId="48" applyFont="1" applyFill="1" applyBorder="1" applyAlignment="1">
      <alignment/>
    </xf>
    <xf numFmtId="171" fontId="72" fillId="35" borderId="11" xfId="48" applyFont="1" applyFill="1" applyBorder="1" applyAlignment="1">
      <alignment/>
    </xf>
    <xf numFmtId="192" fontId="10" fillId="35" borderId="29" xfId="0" applyNumberFormat="1" applyFont="1" applyFill="1" applyBorder="1" applyAlignment="1">
      <alignment horizontal="center" vertical="center"/>
    </xf>
    <xf numFmtId="192" fontId="10" fillId="35" borderId="33" xfId="0" applyNumberFormat="1" applyFont="1" applyFill="1" applyBorder="1" applyAlignment="1">
      <alignment horizontal="center" vertical="center"/>
    </xf>
    <xf numFmtId="192" fontId="9" fillId="35" borderId="33" xfId="0" applyNumberFormat="1" applyFont="1" applyFill="1" applyBorder="1" applyAlignment="1">
      <alignment horizontal="center" vertical="center"/>
    </xf>
    <xf numFmtId="192" fontId="10" fillId="35" borderId="34" xfId="0" applyNumberFormat="1" applyFont="1" applyFill="1" applyBorder="1" applyAlignment="1">
      <alignment horizontal="center" vertical="center"/>
    </xf>
    <xf numFmtId="192" fontId="9" fillId="35" borderId="45" xfId="0" applyNumberFormat="1" applyFont="1" applyFill="1" applyBorder="1" applyAlignment="1">
      <alignment horizontal="center" vertical="center"/>
    </xf>
    <xf numFmtId="192" fontId="10" fillId="35" borderId="40" xfId="0" applyNumberFormat="1" applyFont="1" applyFill="1" applyBorder="1" applyAlignment="1">
      <alignment horizontal="center" vertical="center"/>
    </xf>
    <xf numFmtId="192" fontId="10" fillId="35" borderId="52" xfId="0" applyNumberFormat="1" applyFont="1" applyFill="1" applyBorder="1" applyAlignment="1">
      <alignment horizontal="center" vertical="center"/>
    </xf>
    <xf numFmtId="192" fontId="10" fillId="35" borderId="49" xfId="0" applyNumberFormat="1" applyFont="1" applyFill="1" applyBorder="1" applyAlignment="1">
      <alignment horizontal="center" vertical="center"/>
    </xf>
    <xf numFmtId="185" fontId="10" fillId="35" borderId="27" xfId="0" applyNumberFormat="1" applyFont="1" applyFill="1" applyBorder="1" applyAlignment="1">
      <alignment/>
    </xf>
    <xf numFmtId="192" fontId="9" fillId="35" borderId="32" xfId="48" applyNumberFormat="1" applyFont="1" applyFill="1" applyBorder="1" applyAlignment="1">
      <alignment/>
    </xf>
    <xf numFmtId="0" fontId="10" fillId="35" borderId="46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197" fontId="10" fillId="35" borderId="48" xfId="0" applyNumberFormat="1" applyFont="1" applyFill="1" applyBorder="1" applyAlignment="1">
      <alignment/>
    </xf>
    <xf numFmtId="171" fontId="9" fillId="35" borderId="31" xfId="48" applyFont="1" applyFill="1" applyBorder="1" applyAlignment="1">
      <alignment horizontal="center"/>
    </xf>
    <xf numFmtId="171" fontId="10" fillId="35" borderId="17" xfId="48" applyFont="1" applyFill="1" applyBorder="1" applyAlignment="1">
      <alignment/>
    </xf>
    <xf numFmtId="0" fontId="77" fillId="35" borderId="0" xfId="0" applyFont="1" applyFill="1" applyAlignment="1">
      <alignment/>
    </xf>
    <xf numFmtId="171" fontId="0" fillId="35" borderId="0" xfId="0" applyNumberFormat="1" applyFill="1" applyAlignment="1">
      <alignment/>
    </xf>
    <xf numFmtId="0" fontId="9" fillId="35" borderId="53" xfId="0" applyFont="1" applyFill="1" applyBorder="1" applyAlignment="1">
      <alignment/>
    </xf>
    <xf numFmtId="185" fontId="10" fillId="35" borderId="17" xfId="0" applyNumberFormat="1" applyFont="1" applyFill="1" applyBorder="1" applyAlignment="1">
      <alignment/>
    </xf>
    <xf numFmtId="192" fontId="10" fillId="35" borderId="0" xfId="0" applyNumberFormat="1" applyFont="1" applyFill="1" applyBorder="1" applyAlignment="1">
      <alignment horizontal="center" vertical="center"/>
    </xf>
    <xf numFmtId="192" fontId="9" fillId="35" borderId="0" xfId="48" applyNumberFormat="1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9" fillId="35" borderId="14" xfId="54" applyNumberFormat="1" applyFont="1" applyFill="1" applyBorder="1" applyAlignment="1">
      <alignment horizontal="center"/>
    </xf>
    <xf numFmtId="171" fontId="10" fillId="35" borderId="45" xfId="48" applyFont="1" applyFill="1" applyBorder="1" applyAlignment="1">
      <alignment/>
    </xf>
    <xf numFmtId="185" fontId="10" fillId="35" borderId="12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14" xfId="48" applyNumberFormat="1" applyFont="1" applyFill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0" fillId="33" borderId="39" xfId="0" applyFill="1" applyBorder="1" applyAlignment="1">
      <alignment wrapText="1"/>
    </xf>
    <xf numFmtId="0" fontId="0" fillId="33" borderId="60" xfId="0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5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35" borderId="22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1" fillId="35" borderId="56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1" fillId="0" borderId="59" xfId="0" applyFont="1" applyBorder="1" applyAlignment="1">
      <alignment wrapText="1"/>
    </xf>
    <xf numFmtId="0" fontId="9" fillId="35" borderId="58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0" fillId="35" borderId="59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10" fillId="35" borderId="45" xfId="0" applyFont="1" applyFill="1" applyBorder="1" applyAlignment="1">
      <alignment wrapText="1"/>
    </xf>
    <xf numFmtId="0" fontId="71" fillId="0" borderId="0" xfId="0" applyFont="1" applyAlignment="1">
      <alignment horizontal="left" vertical="top" wrapText="1"/>
    </xf>
    <xf numFmtId="0" fontId="0" fillId="0" borderId="0" xfId="0" applyAlignment="1">
      <alignment/>
    </xf>
    <xf numFmtId="171" fontId="9" fillId="35" borderId="22" xfId="48" applyFont="1" applyFill="1" applyBorder="1" applyAlignment="1">
      <alignment horizontal="center" vertical="center" wrapText="1"/>
    </xf>
    <xf numFmtId="171" fontId="10" fillId="35" borderId="58" xfId="48" applyFont="1" applyFill="1" applyBorder="1" applyAlignment="1">
      <alignment horizontal="center" vertical="center" wrapText="1"/>
    </xf>
    <xf numFmtId="171" fontId="9" fillId="35" borderId="30" xfId="48" applyFont="1" applyFill="1" applyBorder="1" applyAlignment="1">
      <alignment horizontal="center" vertical="center" wrapText="1"/>
    </xf>
    <xf numFmtId="171" fontId="10" fillId="35" borderId="0" xfId="48" applyFont="1" applyFill="1" applyBorder="1" applyAlignment="1">
      <alignment horizontal="center" vertical="center" wrapText="1"/>
    </xf>
    <xf numFmtId="171" fontId="9" fillId="35" borderId="54" xfId="48" applyFont="1" applyFill="1" applyBorder="1" applyAlignment="1">
      <alignment horizontal="center" vertical="center" wrapText="1"/>
    </xf>
    <xf numFmtId="171" fontId="10" fillId="35" borderId="59" xfId="48" applyFont="1" applyFill="1" applyBorder="1" applyAlignment="1">
      <alignment horizontal="center" vertical="center" wrapText="1"/>
    </xf>
    <xf numFmtId="0" fontId="11" fillId="35" borderId="58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171" fontId="9" fillId="35" borderId="58" xfId="48" applyFont="1" applyFill="1" applyBorder="1" applyAlignment="1">
      <alignment horizontal="center" vertical="center" wrapText="1"/>
    </xf>
    <xf numFmtId="171" fontId="12" fillId="35" borderId="58" xfId="48" applyFont="1" applyFill="1" applyBorder="1" applyAlignment="1">
      <alignment horizontal="center" vertical="center" wrapText="1"/>
    </xf>
    <xf numFmtId="171" fontId="12" fillId="35" borderId="56" xfId="48" applyFont="1" applyFill="1" applyBorder="1" applyAlignment="1">
      <alignment horizontal="center" vertical="center" wrapText="1"/>
    </xf>
    <xf numFmtId="171" fontId="12" fillId="35" borderId="30" xfId="48" applyFont="1" applyFill="1" applyBorder="1" applyAlignment="1">
      <alignment horizontal="center" vertical="center" wrapText="1"/>
    </xf>
    <xf numFmtId="171" fontId="12" fillId="35" borderId="0" xfId="48" applyFont="1" applyFill="1" applyBorder="1" applyAlignment="1">
      <alignment horizontal="center" vertical="center" wrapText="1"/>
    </xf>
    <xf numFmtId="171" fontId="12" fillId="35" borderId="49" xfId="48" applyFont="1" applyFill="1" applyBorder="1" applyAlignment="1">
      <alignment horizontal="center" vertical="center" wrapText="1"/>
    </xf>
    <xf numFmtId="171" fontId="12" fillId="35" borderId="54" xfId="48" applyFont="1" applyFill="1" applyBorder="1" applyAlignment="1">
      <alignment horizontal="center" vertical="center" wrapText="1"/>
    </xf>
    <xf numFmtId="171" fontId="12" fillId="35" borderId="59" xfId="48" applyFont="1" applyFill="1" applyBorder="1" applyAlignment="1">
      <alignment horizontal="center" vertical="center" wrapText="1"/>
    </xf>
    <xf numFmtId="171" fontId="12" fillId="35" borderId="57" xfId="48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vertical="center" wrapText="1"/>
    </xf>
    <xf numFmtId="0" fontId="14" fillId="35" borderId="49" xfId="0" applyFont="1" applyFill="1" applyBorder="1" applyAlignment="1">
      <alignment vertical="center" wrapText="1"/>
    </xf>
    <xf numFmtId="0" fontId="14" fillId="35" borderId="57" xfId="0" applyFont="1" applyFill="1" applyBorder="1" applyAlignment="1">
      <alignment vertical="center" wrapText="1"/>
    </xf>
    <xf numFmtId="0" fontId="13" fillId="35" borderId="22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wrapText="1"/>
    </xf>
    <xf numFmtId="0" fontId="14" fillId="35" borderId="54" xfId="0" applyFont="1" applyFill="1" applyBorder="1" applyAlignment="1">
      <alignment wrapText="1"/>
    </xf>
    <xf numFmtId="0" fontId="13" fillId="35" borderId="58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4" fillId="35" borderId="59" xfId="0" applyFont="1" applyFill="1" applyBorder="1" applyAlignment="1">
      <alignment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0" fillId="35" borderId="62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5" borderId="2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vertical="center" wrapText="1"/>
    </xf>
    <xf numFmtId="0" fontId="10" fillId="35" borderId="49" xfId="0" applyFont="1" applyFill="1" applyBorder="1" applyAlignment="1">
      <alignment vertical="center" wrapText="1"/>
    </xf>
    <xf numFmtId="0" fontId="10" fillId="35" borderId="5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9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752475</xdr:colOff>
      <xdr:row>5</xdr:row>
      <xdr:rowOff>161925</xdr:rowOff>
    </xdr:from>
    <xdr:to>
      <xdr:col>15</xdr:col>
      <xdr:colOff>0</xdr:colOff>
      <xdr:row>15</xdr:row>
      <xdr:rowOff>133350</xdr:rowOff>
    </xdr:to>
    <xdr:sp>
      <xdr:nvSpPr>
        <xdr:cNvPr id="1" name="2 Conector recto"/>
        <xdr:cNvSpPr>
          <a:spLocks/>
        </xdr:cNvSpPr>
      </xdr:nvSpPr>
      <xdr:spPr>
        <a:xfrm rot="5400000">
          <a:off x="6162675" y="971550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21</xdr:col>
      <xdr:colOff>9525</xdr:colOff>
      <xdr:row>15</xdr:row>
      <xdr:rowOff>114300</xdr:rowOff>
    </xdr:to>
    <xdr:sp>
      <xdr:nvSpPr>
        <xdr:cNvPr id="2" name="4 Conector recto"/>
        <xdr:cNvSpPr>
          <a:spLocks/>
        </xdr:cNvSpPr>
      </xdr:nvSpPr>
      <xdr:spPr>
        <a:xfrm rot="5400000">
          <a:off x="8629650" y="99060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342900</xdr:colOff>
      <xdr:row>9</xdr:row>
      <xdr:rowOff>66675</xdr:rowOff>
    </xdr:from>
    <xdr:to>
      <xdr:col>20</xdr:col>
      <xdr:colOff>561975</xdr:colOff>
      <xdr:row>11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15100" y="1247775"/>
          <a:ext cx="1885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2do. TRIMESTRE</a:t>
          </a:r>
        </a:p>
      </xdr:txBody>
    </xdr:sp>
    <xdr:clientData/>
  </xdr:twoCellAnchor>
  <xdr:twoCellAnchor>
    <xdr:from>
      <xdr:col>23</xdr:col>
      <xdr:colOff>781050</xdr:colOff>
      <xdr:row>6</xdr:row>
      <xdr:rowOff>9525</xdr:rowOff>
    </xdr:from>
    <xdr:to>
      <xdr:col>23</xdr:col>
      <xdr:colOff>781050</xdr:colOff>
      <xdr:row>15</xdr:row>
      <xdr:rowOff>19050</xdr:rowOff>
    </xdr:to>
    <xdr:sp>
      <xdr:nvSpPr>
        <xdr:cNvPr id="4" name="13 Conector recto"/>
        <xdr:cNvSpPr>
          <a:spLocks/>
        </xdr:cNvSpPr>
      </xdr:nvSpPr>
      <xdr:spPr>
        <a:xfrm rot="5400000" flipH="1" flipV="1">
          <a:off x="11268075" y="9906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333375</xdr:colOff>
      <xdr:row>9</xdr:row>
      <xdr:rowOff>85725</xdr:rowOff>
    </xdr:from>
    <xdr:to>
      <xdr:col>23</xdr:col>
      <xdr:colOff>466725</xdr:colOff>
      <xdr:row>12</xdr:row>
      <xdr:rowOff>19050</xdr:rowOff>
    </xdr:to>
    <xdr:sp>
      <xdr:nvSpPr>
        <xdr:cNvPr id="5" name="14 CuadroTexto"/>
        <xdr:cNvSpPr txBox="1">
          <a:spLocks noChangeArrowheads="1"/>
        </xdr:cNvSpPr>
      </xdr:nvSpPr>
      <xdr:spPr>
        <a:xfrm>
          <a:off x="8963025" y="1266825"/>
          <a:ext cx="1990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26</xdr:col>
      <xdr:colOff>790575</xdr:colOff>
      <xdr:row>6</xdr:row>
      <xdr:rowOff>28575</xdr:rowOff>
    </xdr:from>
    <xdr:to>
      <xdr:col>27</xdr:col>
      <xdr:colOff>9525</xdr:colOff>
      <xdr:row>15</xdr:row>
      <xdr:rowOff>19050</xdr:rowOff>
    </xdr:to>
    <xdr:sp>
      <xdr:nvSpPr>
        <xdr:cNvPr id="6" name="18 Conector recto"/>
        <xdr:cNvSpPr>
          <a:spLocks/>
        </xdr:cNvSpPr>
      </xdr:nvSpPr>
      <xdr:spPr>
        <a:xfrm rot="5400000" flipH="1" flipV="1">
          <a:off x="13649325" y="100965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209550</xdr:colOff>
      <xdr:row>9</xdr:row>
      <xdr:rowOff>76200</xdr:rowOff>
    </xdr:from>
    <xdr:to>
      <xdr:col>26</xdr:col>
      <xdr:colOff>476250</xdr:colOff>
      <xdr:row>11</xdr:row>
      <xdr:rowOff>85725</xdr:rowOff>
    </xdr:to>
    <xdr:sp>
      <xdr:nvSpPr>
        <xdr:cNvPr id="7" name="19 CuadroTexto"/>
        <xdr:cNvSpPr txBox="1">
          <a:spLocks noChangeArrowheads="1"/>
        </xdr:cNvSpPr>
      </xdr:nvSpPr>
      <xdr:spPr>
        <a:xfrm>
          <a:off x="11487150" y="1257300"/>
          <a:ext cx="1847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4to.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381000</xdr:colOff>
      <xdr:row>9</xdr:row>
      <xdr:rowOff>47625</xdr:rowOff>
    </xdr:from>
    <xdr:to>
      <xdr:col>14</xdr:col>
      <xdr:colOff>609600</xdr:colOff>
      <xdr:row>12</xdr:row>
      <xdr:rowOff>19050</xdr:rowOff>
    </xdr:to>
    <xdr:sp>
      <xdr:nvSpPr>
        <xdr:cNvPr id="8" name="20 CuadroTexto"/>
        <xdr:cNvSpPr txBox="1">
          <a:spLocks noChangeArrowheads="1"/>
        </xdr:cNvSpPr>
      </xdr:nvSpPr>
      <xdr:spPr>
        <a:xfrm>
          <a:off x="4133850" y="1228725"/>
          <a:ext cx="1885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zoomScalePageLayoutView="0" workbookViewId="0" topLeftCell="A179">
      <selection activeCell="A213" sqref="A213:F215"/>
    </sheetView>
  </sheetViews>
  <sheetFormatPr defaultColWidth="11.00390625" defaultRowHeight="12.75"/>
  <cols>
    <col min="1" max="1" width="2.00390625" style="0" customWidth="1"/>
    <col min="2" max="2" width="2.25390625" style="0" customWidth="1"/>
    <col min="3" max="4" width="2.125" style="0" customWidth="1"/>
    <col min="5" max="5" width="1.625" style="0" customWidth="1"/>
    <col min="6" max="6" width="79.875" style="0" customWidth="1"/>
    <col min="7" max="7" width="14.875" style="0" bestFit="1" customWidth="1"/>
    <col min="8" max="8" width="12.375" style="0" bestFit="1" customWidth="1"/>
    <col min="16" max="16" width="12.375" style="0" bestFit="1" customWidth="1"/>
    <col min="18" max="18" width="11.875" style="0" bestFit="1" customWidth="1"/>
  </cols>
  <sheetData>
    <row r="1" spans="1:19" ht="12.75" customHeight="1">
      <c r="A1" s="491" t="s">
        <v>168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</row>
    <row r="2" spans="1:19" ht="5.25" customHeight="1">
      <c r="A2" s="74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491" t="s">
        <v>169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</row>
    <row r="4" spans="1:19" ht="5.25" customHeight="1">
      <c r="A4" s="74"/>
      <c r="B4" s="75"/>
      <c r="C4" s="75"/>
      <c r="D4" s="75"/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4.25">
      <c r="A5" s="491" t="s">
        <v>171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</row>
    <row r="6" spans="1:19" ht="5.25" customHeight="1">
      <c r="A6" s="74"/>
      <c r="B6" s="75"/>
      <c r="C6" s="75"/>
      <c r="D6" s="75"/>
      <c r="E6" s="75"/>
      <c r="F6" s="73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4.25">
      <c r="A7" s="491" t="s">
        <v>170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</row>
    <row r="8" spans="1:19" ht="5.25" customHeight="1">
      <c r="A8" s="74"/>
      <c r="B8" s="75"/>
      <c r="C8" s="75"/>
      <c r="D8" s="75"/>
      <c r="E8" s="75"/>
      <c r="F8" s="73"/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6.5" customHeight="1">
      <c r="A9" s="491" t="s">
        <v>192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</row>
    <row r="10" spans="1:19" ht="16.5" customHeight="1">
      <c r="A10" s="491" t="s">
        <v>193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</row>
    <row r="11" spans="2:7" ht="6" customHeight="1" thickBot="1">
      <c r="B11" s="16"/>
      <c r="C11" s="16"/>
      <c r="D11" s="16"/>
      <c r="E11" s="16"/>
      <c r="G11" s="16"/>
    </row>
    <row r="12" spans="1:19" ht="12.75">
      <c r="A12" s="472" t="s">
        <v>177</v>
      </c>
      <c r="B12" s="490" t="s">
        <v>176</v>
      </c>
      <c r="C12" s="484" t="s">
        <v>175</v>
      </c>
      <c r="D12" s="484" t="s">
        <v>174</v>
      </c>
      <c r="E12" s="481" t="s">
        <v>173</v>
      </c>
      <c r="F12" s="475" t="s">
        <v>172</v>
      </c>
      <c r="G12" s="478" t="s">
        <v>167</v>
      </c>
      <c r="H12" s="478" t="s">
        <v>180</v>
      </c>
      <c r="I12" s="478" t="s">
        <v>181</v>
      </c>
      <c r="J12" s="478" t="s">
        <v>182</v>
      </c>
      <c r="K12" s="478" t="s">
        <v>183</v>
      </c>
      <c r="L12" s="478" t="s">
        <v>184</v>
      </c>
      <c r="M12" s="478" t="s">
        <v>185</v>
      </c>
      <c r="N12" s="478" t="s">
        <v>186</v>
      </c>
      <c r="O12" s="478" t="s">
        <v>187</v>
      </c>
      <c r="P12" s="478" t="s">
        <v>188</v>
      </c>
      <c r="Q12" s="478" t="s">
        <v>189</v>
      </c>
      <c r="R12" s="478" t="s">
        <v>190</v>
      </c>
      <c r="S12" s="478" t="s">
        <v>191</v>
      </c>
    </row>
    <row r="13" spans="1:19" ht="12.75">
      <c r="A13" s="473"/>
      <c r="B13" s="485"/>
      <c r="C13" s="485"/>
      <c r="D13" s="485"/>
      <c r="E13" s="482"/>
      <c r="F13" s="476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</row>
    <row r="14" spans="1:19" ht="12.75">
      <c r="A14" s="473"/>
      <c r="B14" s="485"/>
      <c r="C14" s="485"/>
      <c r="D14" s="485"/>
      <c r="E14" s="482"/>
      <c r="F14" s="476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</row>
    <row r="15" spans="1:19" ht="12.75">
      <c r="A15" s="473"/>
      <c r="B15" s="485"/>
      <c r="C15" s="485"/>
      <c r="D15" s="485"/>
      <c r="E15" s="482"/>
      <c r="F15" s="476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</row>
    <row r="16" spans="1:19" ht="12.75">
      <c r="A16" s="473"/>
      <c r="B16" s="485"/>
      <c r="C16" s="485"/>
      <c r="D16" s="485"/>
      <c r="E16" s="482"/>
      <c r="F16" s="476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</row>
    <row r="17" spans="1:19" ht="12.75">
      <c r="A17" s="473"/>
      <c r="B17" s="485"/>
      <c r="C17" s="485"/>
      <c r="D17" s="485"/>
      <c r="E17" s="482"/>
      <c r="F17" s="476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</row>
    <row r="18" spans="1:19" ht="2.25" customHeight="1" hidden="1">
      <c r="A18" s="473"/>
      <c r="B18" s="485"/>
      <c r="C18" s="485"/>
      <c r="D18" s="485"/>
      <c r="E18" s="482"/>
      <c r="F18" s="476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</row>
    <row r="19" spans="1:19" ht="6" customHeight="1" hidden="1">
      <c r="A19" s="473"/>
      <c r="B19" s="485"/>
      <c r="C19" s="485"/>
      <c r="D19" s="485"/>
      <c r="E19" s="482"/>
      <c r="F19" s="476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</row>
    <row r="20" spans="1:19" ht="22.5" customHeight="1" thickBot="1">
      <c r="A20" s="474"/>
      <c r="B20" s="486"/>
      <c r="C20" s="486"/>
      <c r="D20" s="486"/>
      <c r="E20" s="483"/>
      <c r="F20" s="477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</row>
    <row r="21" spans="1:19" ht="12.75">
      <c r="A21" s="68">
        <v>2</v>
      </c>
      <c r="B21" s="64">
        <v>1</v>
      </c>
      <c r="C21" s="64"/>
      <c r="D21" s="64"/>
      <c r="E21" s="65"/>
      <c r="F21" s="28" t="s">
        <v>56</v>
      </c>
      <c r="G21" s="29">
        <f>G23+G40+G51+G56</f>
        <v>42706485</v>
      </c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>
      <c r="A22" s="69"/>
      <c r="B22" s="17"/>
      <c r="C22" s="17"/>
      <c r="D22" s="17"/>
      <c r="E22" s="26"/>
      <c r="F22" s="30"/>
      <c r="G22" s="31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69">
        <v>2</v>
      </c>
      <c r="B23" s="17">
        <v>1</v>
      </c>
      <c r="C23" s="17">
        <v>1</v>
      </c>
      <c r="D23" s="17"/>
      <c r="E23" s="26"/>
      <c r="F23" s="34" t="s">
        <v>57</v>
      </c>
      <c r="G23" s="35">
        <f>G24+G26+G32+G33+G34</f>
        <v>33372290</v>
      </c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69">
        <v>2</v>
      </c>
      <c r="B24" s="17">
        <v>1</v>
      </c>
      <c r="C24" s="17">
        <v>1</v>
      </c>
      <c r="D24" s="17">
        <v>1</v>
      </c>
      <c r="E24" s="26"/>
      <c r="F24" s="34" t="s">
        <v>58</v>
      </c>
      <c r="G24" s="35">
        <f>G25</f>
        <v>24853477</v>
      </c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70">
        <v>2</v>
      </c>
      <c r="B25" s="18">
        <v>1</v>
      </c>
      <c r="C25" s="18">
        <v>1</v>
      </c>
      <c r="D25" s="18">
        <v>1</v>
      </c>
      <c r="E25" s="27" t="s">
        <v>149</v>
      </c>
      <c r="F25" s="32" t="s">
        <v>0</v>
      </c>
      <c r="G25" s="36">
        <f>21013477+3840000</f>
        <v>24853477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9">
        <v>2</v>
      </c>
      <c r="B26" s="17">
        <v>1</v>
      </c>
      <c r="C26" s="17">
        <v>1</v>
      </c>
      <c r="D26" s="17">
        <v>2</v>
      </c>
      <c r="E26" s="24"/>
      <c r="F26" s="37" t="s">
        <v>18</v>
      </c>
      <c r="G26" s="35">
        <f>G27+G28+G29+G30+G31</f>
        <v>3102800</v>
      </c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70">
        <v>2</v>
      </c>
      <c r="B27" s="18">
        <v>1</v>
      </c>
      <c r="C27" s="18">
        <v>1</v>
      </c>
      <c r="D27" s="18">
        <v>2</v>
      </c>
      <c r="E27" s="27" t="s">
        <v>149</v>
      </c>
      <c r="F27" s="39" t="s">
        <v>21</v>
      </c>
      <c r="G27" s="36">
        <v>2400000</v>
      </c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 customHeight="1">
      <c r="A28" s="70">
        <v>2</v>
      </c>
      <c r="B28" s="18">
        <v>1</v>
      </c>
      <c r="C28" s="18">
        <v>1</v>
      </c>
      <c r="D28" s="18">
        <v>2</v>
      </c>
      <c r="E28" s="27" t="s">
        <v>150</v>
      </c>
      <c r="F28" s="39" t="s">
        <v>10</v>
      </c>
      <c r="G28" s="36">
        <v>527800</v>
      </c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0">
        <v>2</v>
      </c>
      <c r="B29" s="18">
        <v>1</v>
      </c>
      <c r="C29" s="18">
        <v>1</v>
      </c>
      <c r="D29" s="18">
        <v>2</v>
      </c>
      <c r="E29" s="27" t="s">
        <v>151</v>
      </c>
      <c r="F29" s="39" t="s">
        <v>20</v>
      </c>
      <c r="G29" s="36">
        <v>25000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0">
        <v>2</v>
      </c>
      <c r="B30" s="18">
        <v>1</v>
      </c>
      <c r="C30" s="18">
        <v>1</v>
      </c>
      <c r="D30" s="18">
        <v>2</v>
      </c>
      <c r="E30" s="27" t="s">
        <v>152</v>
      </c>
      <c r="F30" s="32" t="s">
        <v>19</v>
      </c>
      <c r="G30" s="36">
        <v>100000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0">
        <v>2</v>
      </c>
      <c r="B31" s="18">
        <v>1</v>
      </c>
      <c r="C31" s="18">
        <v>1</v>
      </c>
      <c r="D31" s="18">
        <v>2</v>
      </c>
      <c r="E31" s="27" t="s">
        <v>153</v>
      </c>
      <c r="F31" s="32" t="s">
        <v>22</v>
      </c>
      <c r="G31" s="36">
        <v>50000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69">
        <v>2</v>
      </c>
      <c r="B32" s="17">
        <v>1</v>
      </c>
      <c r="C32" s="17">
        <v>1</v>
      </c>
      <c r="D32" s="17">
        <v>3</v>
      </c>
      <c r="E32" s="24"/>
      <c r="F32" s="40" t="s">
        <v>23</v>
      </c>
      <c r="G32" s="41">
        <v>2166013</v>
      </c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69">
        <v>2</v>
      </c>
      <c r="B33" s="17">
        <v>1</v>
      </c>
      <c r="C33" s="17">
        <v>1</v>
      </c>
      <c r="D33" s="17">
        <v>4</v>
      </c>
      <c r="E33" s="24"/>
      <c r="F33" s="34" t="s">
        <v>72</v>
      </c>
      <c r="G33" s="35">
        <f>1980000+320000</f>
        <v>2300000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69">
        <v>2</v>
      </c>
      <c r="B34" s="17">
        <v>1</v>
      </c>
      <c r="C34" s="17">
        <v>1</v>
      </c>
      <c r="D34" s="17">
        <v>5</v>
      </c>
      <c r="E34" s="24"/>
      <c r="F34" s="34" t="s">
        <v>73</v>
      </c>
      <c r="G34" s="35">
        <f>G35+G36+G37+G38</f>
        <v>950000</v>
      </c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1">
        <v>2</v>
      </c>
      <c r="B35" s="19">
        <v>1</v>
      </c>
      <c r="C35" s="19">
        <v>1</v>
      </c>
      <c r="D35" s="19">
        <v>5</v>
      </c>
      <c r="E35" s="27" t="s">
        <v>149</v>
      </c>
      <c r="F35" s="32" t="s">
        <v>73</v>
      </c>
      <c r="G35" s="36">
        <v>600000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1">
        <v>2</v>
      </c>
      <c r="B36" s="19">
        <v>1</v>
      </c>
      <c r="C36" s="19">
        <v>1</v>
      </c>
      <c r="D36" s="19">
        <v>5</v>
      </c>
      <c r="E36" s="27" t="s">
        <v>150</v>
      </c>
      <c r="F36" s="32" t="s">
        <v>74</v>
      </c>
      <c r="G36" s="36">
        <v>100000</v>
      </c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71">
        <v>2</v>
      </c>
      <c r="B37" s="19">
        <v>1</v>
      </c>
      <c r="C37" s="19">
        <v>1</v>
      </c>
      <c r="D37" s="19">
        <v>5</v>
      </c>
      <c r="E37" s="27" t="s">
        <v>151</v>
      </c>
      <c r="F37" s="32" t="s">
        <v>75</v>
      </c>
      <c r="G37" s="36">
        <v>100000</v>
      </c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1">
        <v>2</v>
      </c>
      <c r="B38" s="19">
        <v>1</v>
      </c>
      <c r="C38" s="19">
        <v>1</v>
      </c>
      <c r="D38" s="19">
        <v>5</v>
      </c>
      <c r="E38" s="27" t="s">
        <v>152</v>
      </c>
      <c r="F38" s="32" t="s">
        <v>76</v>
      </c>
      <c r="G38" s="36">
        <v>150000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71"/>
      <c r="B39" s="19"/>
      <c r="C39" s="19"/>
      <c r="D39" s="19"/>
      <c r="E39" s="27"/>
      <c r="F39" s="32"/>
      <c r="G39" s="36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69">
        <v>2</v>
      </c>
      <c r="B40" s="17">
        <v>1</v>
      </c>
      <c r="C40" s="17">
        <v>2</v>
      </c>
      <c r="D40" s="18"/>
      <c r="E40" s="24"/>
      <c r="F40" s="34" t="s">
        <v>154</v>
      </c>
      <c r="G40" s="35">
        <f>+G41</f>
        <v>6009195</v>
      </c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69">
        <v>2</v>
      </c>
      <c r="B41" s="17">
        <v>1</v>
      </c>
      <c r="C41" s="17">
        <v>2</v>
      </c>
      <c r="D41" s="17">
        <v>2</v>
      </c>
      <c r="E41" s="24"/>
      <c r="F41" s="34" t="s">
        <v>155</v>
      </c>
      <c r="G41" s="35">
        <f>G42+G43+G44+G45+G46+G47+G48+G49</f>
        <v>6009195</v>
      </c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69">
        <v>2</v>
      </c>
      <c r="B42" s="17">
        <v>1</v>
      </c>
      <c r="C42" s="17">
        <v>2</v>
      </c>
      <c r="D42" s="17">
        <v>2</v>
      </c>
      <c r="E42" s="27" t="s">
        <v>149</v>
      </c>
      <c r="F42" s="32" t="s">
        <v>77</v>
      </c>
      <c r="G42" s="36">
        <v>60000</v>
      </c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69">
        <v>2</v>
      </c>
      <c r="B43" s="17">
        <v>1</v>
      </c>
      <c r="C43" s="17">
        <v>2</v>
      </c>
      <c r="D43" s="17">
        <v>2</v>
      </c>
      <c r="E43" s="27" t="s">
        <v>150</v>
      </c>
      <c r="F43" s="32" t="s">
        <v>78</v>
      </c>
      <c r="G43" s="36">
        <v>25000</v>
      </c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69">
        <v>2</v>
      </c>
      <c r="B44" s="17">
        <v>1</v>
      </c>
      <c r="C44" s="17">
        <v>2</v>
      </c>
      <c r="D44" s="17">
        <v>2</v>
      </c>
      <c r="E44" s="27" t="s">
        <v>151</v>
      </c>
      <c r="F44" s="32" t="s">
        <v>79</v>
      </c>
      <c r="G44" s="36">
        <v>150000</v>
      </c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69">
        <v>2</v>
      </c>
      <c r="B45" s="17">
        <v>1</v>
      </c>
      <c r="C45" s="17">
        <v>2</v>
      </c>
      <c r="D45" s="17">
        <v>2</v>
      </c>
      <c r="E45" s="27" t="s">
        <v>152</v>
      </c>
      <c r="F45" s="32" t="s">
        <v>17</v>
      </c>
      <c r="G45" s="36">
        <v>4512945</v>
      </c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69">
        <v>2</v>
      </c>
      <c r="B46" s="17">
        <v>1</v>
      </c>
      <c r="C46" s="17">
        <v>2</v>
      </c>
      <c r="D46" s="17">
        <v>2</v>
      </c>
      <c r="E46" s="27" t="s">
        <v>153</v>
      </c>
      <c r="F46" s="32" t="s">
        <v>80</v>
      </c>
      <c r="G46" s="36">
        <v>211250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69">
        <v>2</v>
      </c>
      <c r="B47" s="17">
        <v>1</v>
      </c>
      <c r="C47" s="17">
        <v>2</v>
      </c>
      <c r="D47" s="17">
        <v>2</v>
      </c>
      <c r="E47" s="27" t="s">
        <v>156</v>
      </c>
      <c r="F47" s="32" t="s">
        <v>81</v>
      </c>
      <c r="G47" s="36">
        <v>150000</v>
      </c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69">
        <v>2</v>
      </c>
      <c r="B48" s="17">
        <v>1</v>
      </c>
      <c r="C48" s="17">
        <v>2</v>
      </c>
      <c r="D48" s="17">
        <v>2</v>
      </c>
      <c r="E48" s="27" t="s">
        <v>157</v>
      </c>
      <c r="F48" s="32" t="s">
        <v>82</v>
      </c>
      <c r="G48" s="36">
        <v>100000</v>
      </c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69">
        <v>2</v>
      </c>
      <c r="B49" s="17">
        <v>1</v>
      </c>
      <c r="C49" s="17">
        <v>2</v>
      </c>
      <c r="D49" s="17">
        <v>2</v>
      </c>
      <c r="E49" s="27" t="s">
        <v>158</v>
      </c>
      <c r="F49" s="32" t="s">
        <v>14</v>
      </c>
      <c r="G49" s="36">
        <v>800000</v>
      </c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69"/>
      <c r="B50" s="17"/>
      <c r="C50" s="17"/>
      <c r="D50" s="17"/>
      <c r="E50" s="27"/>
      <c r="F50" s="32"/>
      <c r="G50" s="36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69">
        <v>2</v>
      </c>
      <c r="B51" s="17">
        <v>1</v>
      </c>
      <c r="C51" s="17">
        <v>3</v>
      </c>
      <c r="D51" s="18"/>
      <c r="E51" s="24"/>
      <c r="F51" s="34" t="s">
        <v>160</v>
      </c>
      <c r="G51" s="35">
        <f>G52</f>
        <v>600000</v>
      </c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69">
        <v>2</v>
      </c>
      <c r="B52" s="17">
        <v>1</v>
      </c>
      <c r="C52" s="17">
        <v>3</v>
      </c>
      <c r="D52" s="17">
        <v>1</v>
      </c>
      <c r="E52" s="24"/>
      <c r="F52" s="34" t="s">
        <v>24</v>
      </c>
      <c r="G52" s="35">
        <f>G53+G54</f>
        <v>600000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69">
        <v>2</v>
      </c>
      <c r="B53" s="17">
        <v>1</v>
      </c>
      <c r="C53" s="17">
        <v>3</v>
      </c>
      <c r="D53" s="17">
        <v>1</v>
      </c>
      <c r="E53" s="27" t="s">
        <v>149</v>
      </c>
      <c r="F53" s="42" t="s">
        <v>128</v>
      </c>
      <c r="G53" s="36">
        <v>200000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69">
        <v>2</v>
      </c>
      <c r="B54" s="17">
        <v>1</v>
      </c>
      <c r="C54" s="17">
        <v>3</v>
      </c>
      <c r="D54" s="17">
        <v>1</v>
      </c>
      <c r="E54" s="27" t="s">
        <v>150</v>
      </c>
      <c r="F54" s="32" t="s">
        <v>25</v>
      </c>
      <c r="G54" s="36">
        <v>400000</v>
      </c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69"/>
      <c r="B55" s="17"/>
      <c r="C55" s="17"/>
      <c r="D55" s="17"/>
      <c r="E55" s="27"/>
      <c r="F55" s="32"/>
      <c r="G55" s="36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69">
        <v>2</v>
      </c>
      <c r="B56" s="17">
        <v>1</v>
      </c>
      <c r="C56" s="17">
        <v>5</v>
      </c>
      <c r="D56" s="18"/>
      <c r="E56" s="24"/>
      <c r="F56" s="34" t="s">
        <v>26</v>
      </c>
      <c r="G56" s="35">
        <f>G57+G58+G59</f>
        <v>2725000</v>
      </c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69">
        <v>2</v>
      </c>
      <c r="B57" s="17">
        <v>1</v>
      </c>
      <c r="C57" s="17">
        <v>5</v>
      </c>
      <c r="D57" s="17">
        <v>1</v>
      </c>
      <c r="E57" s="24"/>
      <c r="F57" s="34" t="s">
        <v>11</v>
      </c>
      <c r="G57" s="35">
        <v>1300000</v>
      </c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69">
        <v>2</v>
      </c>
      <c r="B58" s="17">
        <v>1</v>
      </c>
      <c r="C58" s="17">
        <v>5</v>
      </c>
      <c r="D58" s="17">
        <v>2</v>
      </c>
      <c r="E58" s="24"/>
      <c r="F58" s="34" t="s">
        <v>27</v>
      </c>
      <c r="G58" s="35">
        <v>1300000</v>
      </c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69">
        <v>2</v>
      </c>
      <c r="B59" s="17">
        <v>1</v>
      </c>
      <c r="C59" s="17">
        <v>5</v>
      </c>
      <c r="D59" s="17">
        <v>3</v>
      </c>
      <c r="E59" s="24"/>
      <c r="F59" s="34" t="s">
        <v>28</v>
      </c>
      <c r="G59" s="35">
        <v>125000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69"/>
      <c r="B60" s="17"/>
      <c r="C60" s="17"/>
      <c r="D60" s="17"/>
      <c r="E60" s="24"/>
      <c r="F60" s="34"/>
      <c r="G60" s="35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72">
        <v>2</v>
      </c>
      <c r="B61" s="59">
        <v>2</v>
      </c>
      <c r="C61" s="60"/>
      <c r="D61" s="60"/>
      <c r="E61" s="61"/>
      <c r="F61" s="43" t="s">
        <v>139</v>
      </c>
      <c r="G61" s="44">
        <f>G63+G73+G77+G81+G85+G89+G95</f>
        <v>34734072</v>
      </c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.75">
      <c r="A62" s="69"/>
      <c r="B62" s="17"/>
      <c r="C62" s="18"/>
      <c r="D62" s="18"/>
      <c r="E62" s="24"/>
      <c r="F62" s="45"/>
      <c r="G62" s="31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69">
        <v>2</v>
      </c>
      <c r="B63" s="17">
        <v>2</v>
      </c>
      <c r="C63" s="17">
        <v>1</v>
      </c>
      <c r="D63" s="18"/>
      <c r="E63" s="24"/>
      <c r="F63" s="34" t="s">
        <v>140</v>
      </c>
      <c r="G63" s="35">
        <f>G64+G65+G66+G67+G68+G70+G71</f>
        <v>1587072</v>
      </c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69">
        <v>2</v>
      </c>
      <c r="B64" s="17">
        <v>2</v>
      </c>
      <c r="C64" s="17">
        <v>1</v>
      </c>
      <c r="D64" s="17">
        <v>2</v>
      </c>
      <c r="E64" s="24"/>
      <c r="F64" s="34" t="s">
        <v>83</v>
      </c>
      <c r="G64" s="36">
        <v>20000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69">
        <v>2</v>
      </c>
      <c r="B65" s="17">
        <v>2</v>
      </c>
      <c r="C65" s="17">
        <v>1</v>
      </c>
      <c r="D65" s="17">
        <v>3</v>
      </c>
      <c r="E65" s="24"/>
      <c r="F65" s="45" t="s">
        <v>138</v>
      </c>
      <c r="G65" s="36">
        <v>800000</v>
      </c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69">
        <v>2</v>
      </c>
      <c r="B66" s="17">
        <v>2</v>
      </c>
      <c r="C66" s="17">
        <v>1</v>
      </c>
      <c r="D66" s="17">
        <v>4</v>
      </c>
      <c r="E66" s="24"/>
      <c r="F66" s="34" t="s">
        <v>29</v>
      </c>
      <c r="G66" s="36">
        <v>60000</v>
      </c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69">
        <v>2</v>
      </c>
      <c r="B67" s="17">
        <v>2</v>
      </c>
      <c r="C67" s="17">
        <v>1</v>
      </c>
      <c r="D67" s="17">
        <v>5</v>
      </c>
      <c r="E67" s="24"/>
      <c r="F67" s="34" t="s">
        <v>84</v>
      </c>
      <c r="G67" s="36">
        <v>80000</v>
      </c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69">
        <v>2</v>
      </c>
      <c r="B68" s="17">
        <v>2</v>
      </c>
      <c r="C68" s="17">
        <v>1</v>
      </c>
      <c r="D68" s="17">
        <v>6</v>
      </c>
      <c r="E68" s="24"/>
      <c r="F68" s="34" t="s">
        <v>1</v>
      </c>
      <c r="G68" s="35">
        <f>+G69</f>
        <v>600000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71">
        <v>2</v>
      </c>
      <c r="B69" s="19">
        <v>2</v>
      </c>
      <c r="C69" s="19">
        <v>1</v>
      </c>
      <c r="D69" s="19">
        <v>6</v>
      </c>
      <c r="E69" s="27" t="s">
        <v>149</v>
      </c>
      <c r="F69" s="42" t="s">
        <v>137</v>
      </c>
      <c r="G69" s="36">
        <v>600000</v>
      </c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69">
        <v>2</v>
      </c>
      <c r="B70" s="17">
        <v>2</v>
      </c>
      <c r="C70" s="17">
        <v>1</v>
      </c>
      <c r="D70" s="17">
        <v>7</v>
      </c>
      <c r="E70" s="24"/>
      <c r="F70" s="34" t="s">
        <v>2</v>
      </c>
      <c r="G70" s="35">
        <v>7200</v>
      </c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69">
        <v>2</v>
      </c>
      <c r="B71" s="17">
        <v>2</v>
      </c>
      <c r="C71" s="17">
        <v>1</v>
      </c>
      <c r="D71" s="17">
        <v>8</v>
      </c>
      <c r="E71" s="24"/>
      <c r="F71" s="34" t="s">
        <v>85</v>
      </c>
      <c r="G71" s="35">
        <v>19872</v>
      </c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69"/>
      <c r="B72" s="17"/>
      <c r="C72" s="17"/>
      <c r="D72" s="17"/>
      <c r="E72" s="24"/>
      <c r="F72" s="34"/>
      <c r="G72" s="35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69">
        <v>2</v>
      </c>
      <c r="B73" s="17">
        <v>2</v>
      </c>
      <c r="C73" s="17">
        <v>2</v>
      </c>
      <c r="D73" s="18"/>
      <c r="E73" s="24"/>
      <c r="F73" s="37" t="s">
        <v>159</v>
      </c>
      <c r="G73" s="35">
        <f>+G74+G75</f>
        <v>8000000</v>
      </c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69">
        <v>2</v>
      </c>
      <c r="B74" s="17">
        <v>2</v>
      </c>
      <c r="C74" s="17">
        <v>2</v>
      </c>
      <c r="D74" s="17">
        <v>1</v>
      </c>
      <c r="E74" s="24"/>
      <c r="F74" s="37" t="s">
        <v>30</v>
      </c>
      <c r="G74" s="35">
        <v>1500000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69">
        <v>2</v>
      </c>
      <c r="B75" s="17">
        <v>2</v>
      </c>
      <c r="C75" s="17">
        <v>2</v>
      </c>
      <c r="D75" s="17">
        <v>2</v>
      </c>
      <c r="E75" s="24"/>
      <c r="F75" s="37" t="s">
        <v>71</v>
      </c>
      <c r="G75" s="35">
        <v>6500000</v>
      </c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69"/>
      <c r="B76" s="17"/>
      <c r="C76" s="17"/>
      <c r="D76" s="17"/>
      <c r="E76" s="24"/>
      <c r="F76" s="37"/>
      <c r="G76" s="35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69">
        <v>2</v>
      </c>
      <c r="B77" s="17">
        <v>2</v>
      </c>
      <c r="C77" s="17">
        <v>3</v>
      </c>
      <c r="D77" s="18"/>
      <c r="E77" s="24"/>
      <c r="F77" s="37" t="s">
        <v>141</v>
      </c>
      <c r="G77" s="35">
        <f>+G78+G79</f>
        <v>1800000</v>
      </c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69">
        <v>2</v>
      </c>
      <c r="B78" s="17">
        <v>2</v>
      </c>
      <c r="C78" s="17">
        <v>3</v>
      </c>
      <c r="D78" s="17">
        <v>1</v>
      </c>
      <c r="E78" s="24"/>
      <c r="F78" s="30" t="s">
        <v>124</v>
      </c>
      <c r="G78" s="35">
        <v>1200000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69">
        <v>2</v>
      </c>
      <c r="B79" s="17">
        <v>2</v>
      </c>
      <c r="C79" s="17">
        <v>3</v>
      </c>
      <c r="D79" s="17">
        <v>2</v>
      </c>
      <c r="E79" s="24"/>
      <c r="F79" s="30" t="s">
        <v>125</v>
      </c>
      <c r="G79" s="35">
        <v>600000</v>
      </c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69"/>
      <c r="B80" s="17"/>
      <c r="C80" s="17"/>
      <c r="D80" s="17"/>
      <c r="E80" s="24"/>
      <c r="F80" s="30"/>
      <c r="G80" s="35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69">
        <v>2</v>
      </c>
      <c r="B81" s="17">
        <v>2</v>
      </c>
      <c r="C81" s="17">
        <v>4</v>
      </c>
      <c r="D81" s="18"/>
      <c r="E81" s="24"/>
      <c r="F81" s="37" t="s">
        <v>161</v>
      </c>
      <c r="G81" s="35">
        <f>+G82+G83</f>
        <v>815000</v>
      </c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69">
        <v>2</v>
      </c>
      <c r="B82" s="17">
        <v>2</v>
      </c>
      <c r="C82" s="17">
        <v>4</v>
      </c>
      <c r="D82" s="17">
        <v>1</v>
      </c>
      <c r="E82" s="24"/>
      <c r="F82" s="37" t="s">
        <v>8</v>
      </c>
      <c r="G82" s="35">
        <v>800000</v>
      </c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69">
        <v>2</v>
      </c>
      <c r="B83" s="17">
        <v>2</v>
      </c>
      <c r="C83" s="17">
        <v>4</v>
      </c>
      <c r="D83" s="17">
        <v>4</v>
      </c>
      <c r="E83" s="24"/>
      <c r="F83" s="37" t="s">
        <v>31</v>
      </c>
      <c r="G83" s="35">
        <v>15000</v>
      </c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69"/>
      <c r="B84" s="17"/>
      <c r="C84" s="17"/>
      <c r="D84" s="17"/>
      <c r="E84" s="24"/>
      <c r="F84" s="37"/>
      <c r="G84" s="35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69">
        <v>2</v>
      </c>
      <c r="B85" s="17">
        <v>2</v>
      </c>
      <c r="C85" s="17">
        <v>5</v>
      </c>
      <c r="D85" s="18"/>
      <c r="E85" s="24"/>
      <c r="F85" s="30" t="s">
        <v>32</v>
      </c>
      <c r="G85" s="31">
        <f>G86+G87</f>
        <v>1140000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69">
        <v>2</v>
      </c>
      <c r="B86" s="17">
        <v>2</v>
      </c>
      <c r="C86" s="17">
        <v>5</v>
      </c>
      <c r="D86" s="17">
        <v>1</v>
      </c>
      <c r="E86" s="24"/>
      <c r="F86" s="30" t="s">
        <v>33</v>
      </c>
      <c r="G86" s="31">
        <v>1080000</v>
      </c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69">
        <v>2</v>
      </c>
      <c r="B87" s="17">
        <v>2</v>
      </c>
      <c r="C87" s="17">
        <v>5</v>
      </c>
      <c r="D87" s="17">
        <v>4</v>
      </c>
      <c r="E87" s="24"/>
      <c r="F87" s="30" t="s">
        <v>86</v>
      </c>
      <c r="G87" s="31">
        <v>60000</v>
      </c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69"/>
      <c r="B88" s="17"/>
      <c r="C88" s="17"/>
      <c r="D88" s="17"/>
      <c r="E88" s="24"/>
      <c r="F88" s="30"/>
      <c r="G88" s="31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69">
        <v>2</v>
      </c>
      <c r="B89" s="17">
        <v>2</v>
      </c>
      <c r="C89" s="17">
        <v>6</v>
      </c>
      <c r="D89" s="18"/>
      <c r="E89" s="24"/>
      <c r="F89" s="37" t="s">
        <v>34</v>
      </c>
      <c r="G89" s="35">
        <f>SUM(G90:G93)</f>
        <v>1765000</v>
      </c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69">
        <v>2</v>
      </c>
      <c r="B90" s="17">
        <v>2</v>
      </c>
      <c r="C90" s="17">
        <v>6</v>
      </c>
      <c r="D90" s="17">
        <v>1</v>
      </c>
      <c r="E90" s="24"/>
      <c r="F90" s="37" t="s">
        <v>87</v>
      </c>
      <c r="G90" s="35">
        <v>120000</v>
      </c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69">
        <v>2</v>
      </c>
      <c r="B91" s="17">
        <v>2</v>
      </c>
      <c r="C91" s="17">
        <v>6</v>
      </c>
      <c r="D91" s="17">
        <v>2</v>
      </c>
      <c r="E91" s="24"/>
      <c r="F91" s="37" t="s">
        <v>35</v>
      </c>
      <c r="G91" s="35">
        <v>120000</v>
      </c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69">
        <v>2</v>
      </c>
      <c r="B92" s="17">
        <v>2</v>
      </c>
      <c r="C92" s="17">
        <v>6</v>
      </c>
      <c r="D92" s="17">
        <v>3</v>
      </c>
      <c r="E92" s="24"/>
      <c r="F92" s="37" t="s">
        <v>36</v>
      </c>
      <c r="G92" s="35">
        <v>1500000</v>
      </c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69">
        <v>2</v>
      </c>
      <c r="B93" s="17">
        <v>2</v>
      </c>
      <c r="C93" s="17">
        <v>6</v>
      </c>
      <c r="D93" s="17">
        <v>9</v>
      </c>
      <c r="E93" s="24"/>
      <c r="F93" s="37" t="s">
        <v>88</v>
      </c>
      <c r="G93" s="35">
        <v>25000</v>
      </c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69"/>
      <c r="B94" s="17"/>
      <c r="C94" s="17"/>
      <c r="D94" s="17"/>
      <c r="E94" s="24"/>
      <c r="F94" s="37"/>
      <c r="G94" s="35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69">
        <v>2</v>
      </c>
      <c r="B95" s="17">
        <v>2</v>
      </c>
      <c r="C95" s="17">
        <v>7</v>
      </c>
      <c r="D95" s="18"/>
      <c r="E95" s="24"/>
      <c r="F95" s="46" t="s">
        <v>123</v>
      </c>
      <c r="G95" s="35">
        <f>G96+G100+G105+G106+G107+G111+G113+G119</f>
        <v>19627000</v>
      </c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 customHeight="1">
      <c r="A96" s="69">
        <v>2</v>
      </c>
      <c r="B96" s="17">
        <v>2</v>
      </c>
      <c r="C96" s="17">
        <v>7</v>
      </c>
      <c r="D96" s="17">
        <v>1</v>
      </c>
      <c r="E96" s="24"/>
      <c r="F96" s="47" t="s">
        <v>61</v>
      </c>
      <c r="G96" s="35">
        <f>G97+G98+G99</f>
        <v>385000</v>
      </c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1">
        <v>2</v>
      </c>
      <c r="B97" s="19">
        <v>2</v>
      </c>
      <c r="C97" s="19">
        <v>7</v>
      </c>
      <c r="D97" s="19">
        <v>1</v>
      </c>
      <c r="E97" s="27" t="s">
        <v>150</v>
      </c>
      <c r="F97" s="32" t="s">
        <v>90</v>
      </c>
      <c r="G97" s="36">
        <v>60000</v>
      </c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1">
        <v>2</v>
      </c>
      <c r="B98" s="19">
        <v>2</v>
      </c>
      <c r="C98" s="19">
        <v>7</v>
      </c>
      <c r="D98" s="19">
        <v>1</v>
      </c>
      <c r="E98" s="27" t="s">
        <v>156</v>
      </c>
      <c r="F98" s="42" t="s">
        <v>136</v>
      </c>
      <c r="G98" s="36">
        <v>50000</v>
      </c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1">
        <v>2</v>
      </c>
      <c r="B99" s="19">
        <v>2</v>
      </c>
      <c r="C99" s="19">
        <v>7</v>
      </c>
      <c r="D99" s="19">
        <v>1</v>
      </c>
      <c r="E99" s="27" t="s">
        <v>157</v>
      </c>
      <c r="F99" s="32" t="s">
        <v>162</v>
      </c>
      <c r="G99" s="36">
        <v>275000</v>
      </c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69">
        <v>2</v>
      </c>
      <c r="B100" s="17">
        <v>2</v>
      </c>
      <c r="C100" s="17">
        <v>7</v>
      </c>
      <c r="D100" s="17">
        <v>2</v>
      </c>
      <c r="E100" s="24"/>
      <c r="F100" s="34" t="s">
        <v>89</v>
      </c>
      <c r="G100" s="35">
        <f>SUM(G101:G104)</f>
        <v>700000</v>
      </c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1">
        <v>2</v>
      </c>
      <c r="B101" s="19">
        <v>2</v>
      </c>
      <c r="C101" s="19">
        <v>7</v>
      </c>
      <c r="D101" s="19">
        <v>2</v>
      </c>
      <c r="E101" s="27" t="s">
        <v>149</v>
      </c>
      <c r="F101" s="32" t="s">
        <v>37</v>
      </c>
      <c r="G101" s="36">
        <v>150000</v>
      </c>
      <c r="H101" s="3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1">
        <v>2</v>
      </c>
      <c r="B102" s="19">
        <v>2</v>
      </c>
      <c r="C102" s="19">
        <v>7</v>
      </c>
      <c r="D102" s="19">
        <v>2</v>
      </c>
      <c r="E102" s="27" t="s">
        <v>150</v>
      </c>
      <c r="F102" s="32" t="s">
        <v>38</v>
      </c>
      <c r="G102" s="36">
        <v>150000</v>
      </c>
      <c r="H102" s="3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1">
        <v>2</v>
      </c>
      <c r="B103" s="19">
        <v>2</v>
      </c>
      <c r="C103" s="19">
        <v>7</v>
      </c>
      <c r="D103" s="19">
        <v>2</v>
      </c>
      <c r="E103" s="27" t="s">
        <v>153</v>
      </c>
      <c r="F103" s="32" t="s">
        <v>91</v>
      </c>
      <c r="G103" s="36">
        <v>150000</v>
      </c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1">
        <v>2</v>
      </c>
      <c r="B104" s="19">
        <v>2</v>
      </c>
      <c r="C104" s="19">
        <v>7</v>
      </c>
      <c r="D104" s="19">
        <v>2</v>
      </c>
      <c r="E104" s="27" t="s">
        <v>156</v>
      </c>
      <c r="F104" s="32" t="s">
        <v>92</v>
      </c>
      <c r="G104" s="36">
        <v>250000</v>
      </c>
      <c r="H104" s="3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69">
        <v>2</v>
      </c>
      <c r="B105" s="17">
        <v>2</v>
      </c>
      <c r="C105" s="17">
        <v>8</v>
      </c>
      <c r="D105" s="17">
        <v>1</v>
      </c>
      <c r="E105" s="24"/>
      <c r="F105" s="34" t="s">
        <v>93</v>
      </c>
      <c r="G105" s="35">
        <v>150000</v>
      </c>
      <c r="H105" s="3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69">
        <v>2</v>
      </c>
      <c r="B106" s="17">
        <v>2</v>
      </c>
      <c r="C106" s="17">
        <v>8</v>
      </c>
      <c r="D106" s="17">
        <v>2</v>
      </c>
      <c r="E106" s="24"/>
      <c r="F106" s="34" t="s">
        <v>94</v>
      </c>
      <c r="G106" s="35">
        <v>250000</v>
      </c>
      <c r="H106" s="3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69">
        <v>2</v>
      </c>
      <c r="B107" s="17">
        <v>2</v>
      </c>
      <c r="C107" s="17">
        <v>8</v>
      </c>
      <c r="D107" s="17">
        <v>5</v>
      </c>
      <c r="E107" s="24"/>
      <c r="F107" s="34" t="s">
        <v>95</v>
      </c>
      <c r="G107" s="35">
        <f>G108+G109+G110</f>
        <v>41000</v>
      </c>
      <c r="H107" s="3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71">
        <v>2</v>
      </c>
      <c r="B108" s="19">
        <v>2</v>
      </c>
      <c r="C108" s="19">
        <v>8</v>
      </c>
      <c r="D108" s="19">
        <v>5</v>
      </c>
      <c r="E108" s="27" t="s">
        <v>149</v>
      </c>
      <c r="F108" s="32" t="s">
        <v>96</v>
      </c>
      <c r="G108" s="36">
        <v>10000</v>
      </c>
      <c r="H108" s="3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71">
        <v>2</v>
      </c>
      <c r="B109" s="19">
        <v>2</v>
      </c>
      <c r="C109" s="19">
        <v>8</v>
      </c>
      <c r="D109" s="19">
        <v>5</v>
      </c>
      <c r="E109" s="27" t="s">
        <v>150</v>
      </c>
      <c r="F109" s="42" t="s">
        <v>129</v>
      </c>
      <c r="G109" s="36">
        <v>6000</v>
      </c>
      <c r="H109" s="3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71">
        <v>2</v>
      </c>
      <c r="B110" s="19">
        <v>2</v>
      </c>
      <c r="C110" s="19">
        <v>8</v>
      </c>
      <c r="D110" s="19">
        <v>5</v>
      </c>
      <c r="E110" s="27" t="s">
        <v>151</v>
      </c>
      <c r="F110" s="32" t="s">
        <v>39</v>
      </c>
      <c r="G110" s="36">
        <v>25000</v>
      </c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69">
        <v>2</v>
      </c>
      <c r="B111" s="17">
        <v>2</v>
      </c>
      <c r="C111" s="17">
        <v>8</v>
      </c>
      <c r="D111" s="17">
        <v>6</v>
      </c>
      <c r="E111" s="24"/>
      <c r="F111" s="34" t="s">
        <v>40</v>
      </c>
      <c r="G111" s="35">
        <f>G112</f>
        <v>600000</v>
      </c>
      <c r="H111" s="3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71">
        <v>2</v>
      </c>
      <c r="B112" s="19">
        <v>2</v>
      </c>
      <c r="C112" s="19">
        <v>8</v>
      </c>
      <c r="D112" s="19">
        <v>6</v>
      </c>
      <c r="E112" s="27" t="s">
        <v>149</v>
      </c>
      <c r="F112" s="32" t="s">
        <v>16</v>
      </c>
      <c r="G112" s="36">
        <v>600000</v>
      </c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69">
        <v>2</v>
      </c>
      <c r="B113" s="17">
        <v>2</v>
      </c>
      <c r="C113" s="17">
        <v>8</v>
      </c>
      <c r="D113" s="17">
        <v>7</v>
      </c>
      <c r="E113" s="24"/>
      <c r="F113" s="45" t="s">
        <v>135</v>
      </c>
      <c r="G113" s="35">
        <f>SUM(G114:G118)</f>
        <v>17450000</v>
      </c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71">
        <v>2</v>
      </c>
      <c r="B114" s="19">
        <v>2</v>
      </c>
      <c r="C114" s="19">
        <v>8</v>
      </c>
      <c r="D114" s="19">
        <v>7</v>
      </c>
      <c r="E114" s="27" t="s">
        <v>149</v>
      </c>
      <c r="F114" s="48" t="s">
        <v>62</v>
      </c>
      <c r="G114" s="36">
        <v>500000</v>
      </c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1">
        <v>2</v>
      </c>
      <c r="B115" s="19">
        <v>2</v>
      </c>
      <c r="C115" s="19">
        <v>8</v>
      </c>
      <c r="D115" s="19">
        <v>7</v>
      </c>
      <c r="E115" s="27" t="s">
        <v>150</v>
      </c>
      <c r="F115" s="42" t="s">
        <v>130</v>
      </c>
      <c r="G115" s="36">
        <v>350000</v>
      </c>
      <c r="H115" s="36" t="s">
        <v>7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1">
        <v>2</v>
      </c>
      <c r="B116" s="19">
        <v>2</v>
      </c>
      <c r="C116" s="19">
        <v>8</v>
      </c>
      <c r="D116" s="19">
        <v>7</v>
      </c>
      <c r="E116" s="27" t="s">
        <v>152</v>
      </c>
      <c r="F116" s="42" t="s">
        <v>97</v>
      </c>
      <c r="G116" s="36">
        <f>9000000+5000000+1500000</f>
        <v>15500000</v>
      </c>
      <c r="H116" s="32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1">
        <v>2</v>
      </c>
      <c r="B117" s="19">
        <v>2</v>
      </c>
      <c r="C117" s="19">
        <v>8</v>
      </c>
      <c r="D117" s="19">
        <v>7</v>
      </c>
      <c r="E117" s="27" t="s">
        <v>153</v>
      </c>
      <c r="F117" s="32" t="s">
        <v>127</v>
      </c>
      <c r="G117" s="36">
        <v>100000</v>
      </c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1">
        <v>2</v>
      </c>
      <c r="B118" s="19">
        <v>2</v>
      </c>
      <c r="C118" s="19">
        <v>8</v>
      </c>
      <c r="D118" s="19">
        <v>7</v>
      </c>
      <c r="E118" s="27" t="s">
        <v>156</v>
      </c>
      <c r="F118" s="32" t="s">
        <v>134</v>
      </c>
      <c r="G118" s="36">
        <v>1000000</v>
      </c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69">
        <v>2</v>
      </c>
      <c r="B119" s="17">
        <v>2</v>
      </c>
      <c r="C119" s="17">
        <v>8</v>
      </c>
      <c r="D119" s="17">
        <v>8</v>
      </c>
      <c r="E119" s="24"/>
      <c r="F119" s="34" t="s">
        <v>9</v>
      </c>
      <c r="G119" s="35">
        <f>SUM(G120:G121)</f>
        <v>51000</v>
      </c>
      <c r="H119" s="3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71">
        <v>2</v>
      </c>
      <c r="B120" s="19">
        <v>2</v>
      </c>
      <c r="C120" s="19">
        <v>8</v>
      </c>
      <c r="D120" s="19">
        <v>8</v>
      </c>
      <c r="E120" s="27" t="s">
        <v>149</v>
      </c>
      <c r="F120" s="32" t="s">
        <v>41</v>
      </c>
      <c r="G120" s="36">
        <v>45000</v>
      </c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1">
        <v>2</v>
      </c>
      <c r="B121" s="19">
        <v>2</v>
      </c>
      <c r="C121" s="19">
        <v>8</v>
      </c>
      <c r="D121" s="19">
        <v>8</v>
      </c>
      <c r="E121" s="27" t="s">
        <v>151</v>
      </c>
      <c r="F121" s="32" t="s">
        <v>42</v>
      </c>
      <c r="G121" s="36">
        <v>6000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0"/>
      <c r="B122" s="18"/>
      <c r="C122" s="18"/>
      <c r="D122" s="18"/>
      <c r="E122" s="24"/>
      <c r="F122" s="32"/>
      <c r="G122" s="36"/>
      <c r="H122" s="3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0"/>
      <c r="B123" s="18"/>
      <c r="C123" s="18"/>
      <c r="D123" s="18"/>
      <c r="E123" s="24"/>
      <c r="F123" s="34"/>
      <c r="G123" s="36"/>
      <c r="H123" s="3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2">
        <v>2</v>
      </c>
      <c r="B124" s="59">
        <v>3</v>
      </c>
      <c r="C124" s="60"/>
      <c r="D124" s="60"/>
      <c r="E124" s="61"/>
      <c r="F124" s="43" t="s">
        <v>59</v>
      </c>
      <c r="G124" s="44">
        <f>G126+G133+G136+G142+G145+G150+G153+G160</f>
        <v>5730000</v>
      </c>
      <c r="H124" s="62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ht="12.75">
      <c r="A125" s="70"/>
      <c r="B125" s="18"/>
      <c r="C125" s="18"/>
      <c r="D125" s="18"/>
      <c r="E125" s="24"/>
      <c r="F125" s="34"/>
      <c r="G125" s="35"/>
      <c r="H125" s="32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2.75">
      <c r="A126" s="69">
        <v>2</v>
      </c>
      <c r="B126" s="17">
        <v>3</v>
      </c>
      <c r="C126" s="17">
        <v>1</v>
      </c>
      <c r="D126" s="18"/>
      <c r="E126" s="24"/>
      <c r="F126" s="34" t="s">
        <v>3</v>
      </c>
      <c r="G126" s="35">
        <f>G127+G130</f>
        <v>640000</v>
      </c>
      <c r="H126" s="3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69">
        <v>2</v>
      </c>
      <c r="B127" s="17">
        <v>3</v>
      </c>
      <c r="C127" s="17">
        <v>1</v>
      </c>
      <c r="D127" s="17">
        <v>1</v>
      </c>
      <c r="E127" s="24"/>
      <c r="F127" s="34" t="s">
        <v>6</v>
      </c>
      <c r="G127" s="35">
        <f>G128</f>
        <v>600000</v>
      </c>
      <c r="H127" s="3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71">
        <v>2</v>
      </c>
      <c r="B128" s="19">
        <v>3</v>
      </c>
      <c r="C128" s="19">
        <v>1</v>
      </c>
      <c r="D128" s="19">
        <v>1</v>
      </c>
      <c r="E128" s="27" t="s">
        <v>149</v>
      </c>
      <c r="F128" s="32" t="s">
        <v>6</v>
      </c>
      <c r="G128" s="36">
        <v>600000</v>
      </c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70"/>
      <c r="B129" s="18"/>
      <c r="C129" s="18"/>
      <c r="D129" s="18"/>
      <c r="E129" s="24"/>
      <c r="F129" s="32"/>
      <c r="G129" s="36"/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69">
        <v>2</v>
      </c>
      <c r="B130" s="17">
        <v>3</v>
      </c>
      <c r="C130" s="17">
        <v>1</v>
      </c>
      <c r="D130" s="17">
        <v>3</v>
      </c>
      <c r="E130" s="24"/>
      <c r="F130" s="34" t="s">
        <v>12</v>
      </c>
      <c r="G130" s="35">
        <f>+G131</f>
        <v>40000</v>
      </c>
      <c r="H130" s="3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71">
        <v>2</v>
      </c>
      <c r="B131" s="19">
        <v>3</v>
      </c>
      <c r="C131" s="19">
        <v>1</v>
      </c>
      <c r="D131" s="19">
        <v>3</v>
      </c>
      <c r="E131" s="27" t="s">
        <v>151</v>
      </c>
      <c r="F131" s="32" t="s">
        <v>98</v>
      </c>
      <c r="G131" s="36">
        <v>40000</v>
      </c>
      <c r="H131" s="3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70"/>
      <c r="B132" s="18"/>
      <c r="C132" s="18"/>
      <c r="D132" s="18"/>
      <c r="E132" s="24"/>
      <c r="F132" s="34"/>
      <c r="G132" s="35"/>
      <c r="H132" s="3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69">
        <v>2</v>
      </c>
      <c r="B133" s="17">
        <v>3</v>
      </c>
      <c r="C133" s="17">
        <v>2</v>
      </c>
      <c r="D133" s="18"/>
      <c r="E133" s="24"/>
      <c r="F133" s="34" t="s">
        <v>99</v>
      </c>
      <c r="G133" s="35">
        <f>+G134</f>
        <v>150000</v>
      </c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69">
        <v>2</v>
      </c>
      <c r="B134" s="17">
        <v>3</v>
      </c>
      <c r="C134" s="17">
        <v>2</v>
      </c>
      <c r="D134" s="17">
        <v>3</v>
      </c>
      <c r="E134" s="24"/>
      <c r="F134" s="34" t="s">
        <v>100</v>
      </c>
      <c r="G134" s="35">
        <v>150000</v>
      </c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70"/>
      <c r="B135" s="18"/>
      <c r="C135" s="18"/>
      <c r="D135" s="18"/>
      <c r="E135" s="24"/>
      <c r="F135" s="34"/>
      <c r="G135" s="35"/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69">
        <v>2</v>
      </c>
      <c r="B136" s="17">
        <v>3</v>
      </c>
      <c r="C136" s="17">
        <v>3</v>
      </c>
      <c r="D136" s="18"/>
      <c r="E136" s="24"/>
      <c r="F136" s="45" t="s">
        <v>122</v>
      </c>
      <c r="G136" s="35">
        <f>G137+G138+G139+G140</f>
        <v>260000</v>
      </c>
      <c r="H136" s="3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69">
        <v>2</v>
      </c>
      <c r="B137" s="17">
        <v>3</v>
      </c>
      <c r="C137" s="17">
        <v>3</v>
      </c>
      <c r="D137" s="17">
        <v>1</v>
      </c>
      <c r="E137" s="24"/>
      <c r="F137" s="34" t="s">
        <v>4</v>
      </c>
      <c r="G137" s="35">
        <v>80000</v>
      </c>
      <c r="H137" s="3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9">
        <v>2</v>
      </c>
      <c r="B138" s="17">
        <v>3</v>
      </c>
      <c r="C138" s="17">
        <v>3</v>
      </c>
      <c r="D138" s="17">
        <v>2</v>
      </c>
      <c r="E138" s="24"/>
      <c r="F138" s="34" t="s">
        <v>121</v>
      </c>
      <c r="G138" s="35">
        <v>50000</v>
      </c>
      <c r="H138" s="3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69">
        <v>2</v>
      </c>
      <c r="B139" s="17">
        <v>3</v>
      </c>
      <c r="C139" s="17">
        <v>3</v>
      </c>
      <c r="D139" s="17">
        <v>3</v>
      </c>
      <c r="E139" s="24"/>
      <c r="F139" s="34" t="s">
        <v>120</v>
      </c>
      <c r="G139" s="35">
        <v>10000</v>
      </c>
      <c r="H139" s="3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69">
        <v>2</v>
      </c>
      <c r="B140" s="17">
        <v>3</v>
      </c>
      <c r="C140" s="17">
        <v>3</v>
      </c>
      <c r="D140" s="17">
        <v>4</v>
      </c>
      <c r="E140" s="24"/>
      <c r="F140" s="34" t="s">
        <v>101</v>
      </c>
      <c r="G140" s="35">
        <v>120000</v>
      </c>
      <c r="H140" s="3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70"/>
      <c r="B141" s="18"/>
      <c r="C141" s="18"/>
      <c r="D141" s="18"/>
      <c r="E141" s="24"/>
      <c r="F141" s="34"/>
      <c r="G141" s="35"/>
      <c r="H141" s="3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69">
        <v>2</v>
      </c>
      <c r="B142" s="17">
        <v>3</v>
      </c>
      <c r="C142" s="17">
        <v>4</v>
      </c>
      <c r="D142" s="18"/>
      <c r="E142" s="24"/>
      <c r="F142" s="34" t="s">
        <v>163</v>
      </c>
      <c r="G142" s="35">
        <f>+G143</f>
        <v>15000</v>
      </c>
      <c r="H142" s="3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69">
        <v>2</v>
      </c>
      <c r="B143" s="17">
        <v>3</v>
      </c>
      <c r="C143" s="17">
        <v>4</v>
      </c>
      <c r="D143" s="17">
        <v>1</v>
      </c>
      <c r="E143" s="24"/>
      <c r="F143" s="34" t="s">
        <v>43</v>
      </c>
      <c r="G143" s="35">
        <v>15000</v>
      </c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70"/>
      <c r="B144" s="18"/>
      <c r="C144" s="18"/>
      <c r="D144" s="18"/>
      <c r="E144" s="24"/>
      <c r="F144" s="34"/>
      <c r="G144" s="35"/>
      <c r="H144" s="3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69">
        <v>2</v>
      </c>
      <c r="B145" s="17">
        <v>3</v>
      </c>
      <c r="C145" s="17">
        <v>5</v>
      </c>
      <c r="D145" s="18"/>
      <c r="E145" s="24"/>
      <c r="F145" s="34" t="s">
        <v>119</v>
      </c>
      <c r="G145" s="35">
        <f>G146+G147+G148</f>
        <v>295000</v>
      </c>
      <c r="H145" s="3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9">
        <v>2</v>
      </c>
      <c r="B146" s="17">
        <v>3</v>
      </c>
      <c r="C146" s="17">
        <v>5</v>
      </c>
      <c r="D146" s="17">
        <v>3</v>
      </c>
      <c r="E146" s="24"/>
      <c r="F146" s="34" t="s">
        <v>126</v>
      </c>
      <c r="G146" s="35">
        <v>250000</v>
      </c>
      <c r="H146" s="3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69">
        <v>2</v>
      </c>
      <c r="B147" s="17">
        <v>3</v>
      </c>
      <c r="C147" s="17">
        <v>5</v>
      </c>
      <c r="D147" s="17">
        <v>4</v>
      </c>
      <c r="E147" s="24"/>
      <c r="F147" s="34" t="s">
        <v>144</v>
      </c>
      <c r="G147" s="35">
        <v>20000</v>
      </c>
      <c r="H147" s="3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69">
        <v>2</v>
      </c>
      <c r="B148" s="17">
        <v>3</v>
      </c>
      <c r="C148" s="17">
        <v>5</v>
      </c>
      <c r="D148" s="17">
        <v>5</v>
      </c>
      <c r="E148" s="24"/>
      <c r="F148" s="34" t="s">
        <v>143</v>
      </c>
      <c r="G148" s="35">
        <v>25000</v>
      </c>
      <c r="H148" s="3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70"/>
      <c r="B149" s="18"/>
      <c r="C149" s="18"/>
      <c r="D149" s="18"/>
      <c r="E149" s="24"/>
      <c r="F149" s="32"/>
      <c r="G149" s="36"/>
      <c r="H149" s="3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69">
        <v>2</v>
      </c>
      <c r="B150" s="17">
        <v>3</v>
      </c>
      <c r="C150" s="17">
        <v>6</v>
      </c>
      <c r="D150" s="18"/>
      <c r="E150" s="24"/>
      <c r="F150" s="34" t="s">
        <v>164</v>
      </c>
      <c r="G150" s="35">
        <f>+G151</f>
        <v>200000</v>
      </c>
      <c r="H150" s="3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69">
        <v>2</v>
      </c>
      <c r="B151" s="17">
        <v>3</v>
      </c>
      <c r="C151" s="17">
        <v>6</v>
      </c>
      <c r="D151" s="17">
        <v>2</v>
      </c>
      <c r="E151" s="24"/>
      <c r="F151" s="34" t="s">
        <v>44</v>
      </c>
      <c r="G151" s="35">
        <v>200000</v>
      </c>
      <c r="H151" s="3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70"/>
      <c r="B152" s="18"/>
      <c r="C152" s="18"/>
      <c r="D152" s="18"/>
      <c r="E152" s="24"/>
      <c r="F152" s="34"/>
      <c r="G152" s="35"/>
      <c r="H152" s="3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69">
        <v>2</v>
      </c>
      <c r="B153" s="17">
        <v>3</v>
      </c>
      <c r="C153" s="17">
        <v>7</v>
      </c>
      <c r="D153" s="17"/>
      <c r="E153" s="24"/>
      <c r="F153" s="47" t="s">
        <v>142</v>
      </c>
      <c r="G153" s="35">
        <f>+G154</f>
        <v>3940000</v>
      </c>
      <c r="H153" s="3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69">
        <v>2</v>
      </c>
      <c r="B154" s="17">
        <v>3</v>
      </c>
      <c r="C154" s="17">
        <v>7</v>
      </c>
      <c r="D154" s="17">
        <v>1</v>
      </c>
      <c r="E154" s="24"/>
      <c r="F154" s="34" t="s">
        <v>5</v>
      </c>
      <c r="G154" s="35">
        <f>G155+G156+G157+G158</f>
        <v>3940000</v>
      </c>
      <c r="H154" s="3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71">
        <v>2</v>
      </c>
      <c r="B155" s="19">
        <v>3</v>
      </c>
      <c r="C155" s="19">
        <v>7</v>
      </c>
      <c r="D155" s="19">
        <v>1</v>
      </c>
      <c r="E155" s="27" t="s">
        <v>149</v>
      </c>
      <c r="F155" s="32" t="s">
        <v>45</v>
      </c>
      <c r="G155" s="36">
        <v>2400000</v>
      </c>
      <c r="H155" s="3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71">
        <v>2</v>
      </c>
      <c r="B156" s="19">
        <v>3</v>
      </c>
      <c r="C156" s="19">
        <v>7</v>
      </c>
      <c r="D156" s="19">
        <v>1</v>
      </c>
      <c r="E156" s="27" t="s">
        <v>150</v>
      </c>
      <c r="F156" s="32" t="s">
        <v>46</v>
      </c>
      <c r="G156" s="36">
        <v>1500000</v>
      </c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71">
        <v>2</v>
      </c>
      <c r="B157" s="19">
        <v>3</v>
      </c>
      <c r="C157" s="19">
        <v>7</v>
      </c>
      <c r="D157" s="19">
        <v>1</v>
      </c>
      <c r="E157" s="27" t="s">
        <v>152</v>
      </c>
      <c r="F157" s="32" t="s">
        <v>15</v>
      </c>
      <c r="G157" s="36">
        <v>15000</v>
      </c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71">
        <v>2</v>
      </c>
      <c r="B158" s="19">
        <v>3</v>
      </c>
      <c r="C158" s="19">
        <v>7</v>
      </c>
      <c r="D158" s="19">
        <v>1</v>
      </c>
      <c r="E158" s="27" t="s">
        <v>156</v>
      </c>
      <c r="F158" s="32" t="s">
        <v>47</v>
      </c>
      <c r="G158" s="36">
        <v>25000</v>
      </c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70"/>
      <c r="B159" s="18"/>
      <c r="C159" s="18"/>
      <c r="D159" s="18"/>
      <c r="E159" s="24"/>
      <c r="F159" s="34"/>
      <c r="G159" s="35"/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69">
        <v>2</v>
      </c>
      <c r="B160" s="17">
        <v>3</v>
      </c>
      <c r="C160" s="17">
        <v>9</v>
      </c>
      <c r="D160" s="18"/>
      <c r="E160" s="24"/>
      <c r="F160" s="34" t="s">
        <v>165</v>
      </c>
      <c r="G160" s="35">
        <f>SUM(G161:G166)</f>
        <v>230000</v>
      </c>
      <c r="H160" s="3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69">
        <v>2</v>
      </c>
      <c r="B161" s="17">
        <v>3</v>
      </c>
      <c r="C161" s="17">
        <v>9</v>
      </c>
      <c r="D161" s="17">
        <v>1</v>
      </c>
      <c r="E161" s="24"/>
      <c r="F161" s="34" t="s">
        <v>48</v>
      </c>
      <c r="G161" s="35">
        <v>30000</v>
      </c>
      <c r="H161" s="3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69">
        <v>2</v>
      </c>
      <c r="B162" s="17">
        <v>3</v>
      </c>
      <c r="C162" s="17">
        <v>9</v>
      </c>
      <c r="D162" s="17">
        <v>2</v>
      </c>
      <c r="E162" s="24"/>
      <c r="F162" s="34" t="s">
        <v>148</v>
      </c>
      <c r="G162" s="35">
        <v>55000</v>
      </c>
      <c r="H162" s="3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69">
        <v>2</v>
      </c>
      <c r="B163" s="17">
        <v>3</v>
      </c>
      <c r="C163" s="17">
        <v>9</v>
      </c>
      <c r="D163" s="17">
        <v>4</v>
      </c>
      <c r="E163" s="24"/>
      <c r="F163" s="34" t="s">
        <v>145</v>
      </c>
      <c r="G163" s="35">
        <v>60000</v>
      </c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69">
        <v>2</v>
      </c>
      <c r="B164" s="17">
        <v>3</v>
      </c>
      <c r="C164" s="17">
        <v>9</v>
      </c>
      <c r="D164" s="17">
        <v>5</v>
      </c>
      <c r="E164" s="24"/>
      <c r="F164" s="34" t="s">
        <v>146</v>
      </c>
      <c r="G164" s="35">
        <v>30000</v>
      </c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69">
        <v>2</v>
      </c>
      <c r="B165" s="17">
        <v>3</v>
      </c>
      <c r="C165" s="17">
        <v>9</v>
      </c>
      <c r="D165" s="17">
        <v>6</v>
      </c>
      <c r="E165" s="24"/>
      <c r="F165" s="34" t="s">
        <v>133</v>
      </c>
      <c r="G165" s="35">
        <v>35000</v>
      </c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69">
        <v>2</v>
      </c>
      <c r="B166" s="17">
        <v>3</v>
      </c>
      <c r="C166" s="17">
        <v>9</v>
      </c>
      <c r="D166" s="17">
        <v>9</v>
      </c>
      <c r="E166" s="24"/>
      <c r="F166" s="34" t="s">
        <v>102</v>
      </c>
      <c r="G166" s="35">
        <v>20000</v>
      </c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70"/>
      <c r="B167" s="18"/>
      <c r="C167" s="18"/>
      <c r="D167" s="18"/>
      <c r="E167" s="24"/>
      <c r="F167" s="34"/>
      <c r="G167" s="35"/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2">
        <v>2</v>
      </c>
      <c r="B168" s="59">
        <v>4</v>
      </c>
      <c r="C168" s="60"/>
      <c r="D168" s="60"/>
      <c r="E168" s="61"/>
      <c r="F168" s="43" t="s">
        <v>63</v>
      </c>
      <c r="G168" s="44">
        <f>G170+G184</f>
        <v>27050000</v>
      </c>
      <c r="H168" s="62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ht="12.75">
      <c r="A169" s="69"/>
      <c r="B169" s="17"/>
      <c r="C169" s="18"/>
      <c r="D169" s="18"/>
      <c r="E169" s="24"/>
      <c r="F169" s="45"/>
      <c r="G169" s="31"/>
      <c r="H169" s="32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2.75">
      <c r="A170" s="69">
        <v>2</v>
      </c>
      <c r="B170" s="17">
        <v>4</v>
      </c>
      <c r="C170" s="17">
        <v>1</v>
      </c>
      <c r="D170" s="18"/>
      <c r="E170" s="24"/>
      <c r="F170" s="34" t="s">
        <v>64</v>
      </c>
      <c r="G170" s="35">
        <f>G171+G174+G177+G178+G181</f>
        <v>26750000</v>
      </c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69">
        <v>2</v>
      </c>
      <c r="B171" s="17">
        <v>4</v>
      </c>
      <c r="C171" s="17">
        <v>1</v>
      </c>
      <c r="D171" s="17">
        <v>2</v>
      </c>
      <c r="E171" s="24"/>
      <c r="F171" s="34" t="s">
        <v>49</v>
      </c>
      <c r="G171" s="35">
        <f>+G172+G173</f>
        <v>325000</v>
      </c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71">
        <v>2</v>
      </c>
      <c r="B172" s="19">
        <v>4</v>
      </c>
      <c r="C172" s="19">
        <v>1</v>
      </c>
      <c r="D172" s="19">
        <v>2</v>
      </c>
      <c r="E172" s="27" t="s">
        <v>149</v>
      </c>
      <c r="F172" s="32" t="s">
        <v>50</v>
      </c>
      <c r="G172" s="36">
        <v>200000</v>
      </c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1">
        <v>2</v>
      </c>
      <c r="B173" s="19">
        <v>4</v>
      </c>
      <c r="C173" s="19">
        <v>1</v>
      </c>
      <c r="D173" s="19">
        <v>2</v>
      </c>
      <c r="E173" s="27" t="s">
        <v>150</v>
      </c>
      <c r="F173" s="32" t="s">
        <v>103</v>
      </c>
      <c r="G173" s="36">
        <v>125000</v>
      </c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69">
        <v>2</v>
      </c>
      <c r="B174" s="17">
        <v>4</v>
      </c>
      <c r="C174" s="17">
        <v>1</v>
      </c>
      <c r="D174" s="17">
        <v>4</v>
      </c>
      <c r="E174" s="24"/>
      <c r="F174" s="34" t="s">
        <v>51</v>
      </c>
      <c r="G174" s="35">
        <f>SUM(G175:G176)</f>
        <v>25600000</v>
      </c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71">
        <v>2</v>
      </c>
      <c r="B175" s="19">
        <v>4</v>
      </c>
      <c r="C175" s="19">
        <v>1</v>
      </c>
      <c r="D175" s="19">
        <v>4</v>
      </c>
      <c r="E175" s="27" t="s">
        <v>149</v>
      </c>
      <c r="F175" s="32" t="s">
        <v>52</v>
      </c>
      <c r="G175" s="36">
        <v>600000</v>
      </c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1">
        <v>2</v>
      </c>
      <c r="B176" s="19">
        <v>4</v>
      </c>
      <c r="C176" s="19">
        <v>1</v>
      </c>
      <c r="D176" s="19">
        <v>4</v>
      </c>
      <c r="E176" s="27" t="s">
        <v>150</v>
      </c>
      <c r="F176" s="32" t="s">
        <v>53</v>
      </c>
      <c r="G176" s="36">
        <v>25000000</v>
      </c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69">
        <v>2</v>
      </c>
      <c r="B177" s="17">
        <v>4</v>
      </c>
      <c r="C177" s="17">
        <v>1</v>
      </c>
      <c r="D177" s="17">
        <v>5</v>
      </c>
      <c r="E177" s="24"/>
      <c r="F177" s="34" t="s">
        <v>55</v>
      </c>
      <c r="G177" s="35">
        <v>200000</v>
      </c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69">
        <v>2</v>
      </c>
      <c r="B178" s="17">
        <v>4</v>
      </c>
      <c r="C178" s="17">
        <v>1</v>
      </c>
      <c r="D178" s="17">
        <v>6</v>
      </c>
      <c r="E178" s="24"/>
      <c r="F178" s="47" t="s">
        <v>166</v>
      </c>
      <c r="G178" s="35">
        <f>SUM(G179:G180)</f>
        <v>325000</v>
      </c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71">
        <v>2</v>
      </c>
      <c r="B179" s="19">
        <v>4</v>
      </c>
      <c r="C179" s="19">
        <v>1</v>
      </c>
      <c r="D179" s="19">
        <v>6</v>
      </c>
      <c r="E179" s="27" t="s">
        <v>149</v>
      </c>
      <c r="F179" s="32" t="s">
        <v>54</v>
      </c>
      <c r="G179" s="36">
        <v>125000</v>
      </c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1">
        <v>2</v>
      </c>
      <c r="B180" s="19">
        <v>4</v>
      </c>
      <c r="C180" s="19">
        <v>1</v>
      </c>
      <c r="D180" s="19">
        <v>6</v>
      </c>
      <c r="E180" s="27" t="s">
        <v>152</v>
      </c>
      <c r="F180" s="49" t="s">
        <v>131</v>
      </c>
      <c r="G180" s="36">
        <v>200000</v>
      </c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69">
        <v>2</v>
      </c>
      <c r="B181" s="17">
        <v>4</v>
      </c>
      <c r="C181" s="17">
        <v>2</v>
      </c>
      <c r="D181" s="17">
        <v>2</v>
      </c>
      <c r="E181" s="24"/>
      <c r="F181" s="47" t="s">
        <v>104</v>
      </c>
      <c r="G181" s="35">
        <f>G182</f>
        <v>300000</v>
      </c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 customHeight="1">
      <c r="A182" s="71">
        <v>2</v>
      </c>
      <c r="B182" s="19">
        <v>4</v>
      </c>
      <c r="C182" s="19">
        <v>2</v>
      </c>
      <c r="D182" s="19">
        <v>2</v>
      </c>
      <c r="E182" s="27" t="s">
        <v>149</v>
      </c>
      <c r="F182" s="49" t="s">
        <v>105</v>
      </c>
      <c r="G182" s="36">
        <v>300000</v>
      </c>
      <c r="H182" s="32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>
      <c r="A183" s="71"/>
      <c r="B183" s="19"/>
      <c r="C183" s="19"/>
      <c r="D183" s="19"/>
      <c r="E183" s="27"/>
      <c r="F183" s="49"/>
      <c r="G183" s="36"/>
      <c r="H183" s="32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2.75">
      <c r="A184" s="69">
        <v>2</v>
      </c>
      <c r="B184" s="17">
        <v>4</v>
      </c>
      <c r="C184" s="17">
        <v>4</v>
      </c>
      <c r="D184" s="17"/>
      <c r="E184" s="24"/>
      <c r="F184" s="47" t="s">
        <v>65</v>
      </c>
      <c r="G184" s="35">
        <f>G185</f>
        <v>300000</v>
      </c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69">
        <v>2</v>
      </c>
      <c r="B185" s="17">
        <v>4</v>
      </c>
      <c r="C185" s="17">
        <v>4</v>
      </c>
      <c r="D185" s="17">
        <v>1</v>
      </c>
      <c r="E185" s="24"/>
      <c r="F185" s="47" t="s">
        <v>106</v>
      </c>
      <c r="G185" s="35">
        <f>G186</f>
        <v>300000</v>
      </c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71">
        <v>2</v>
      </c>
      <c r="B186" s="19">
        <v>4</v>
      </c>
      <c r="C186" s="19">
        <v>4</v>
      </c>
      <c r="D186" s="19">
        <v>1</v>
      </c>
      <c r="E186" s="27" t="s">
        <v>150</v>
      </c>
      <c r="F186" s="49" t="s">
        <v>107</v>
      </c>
      <c r="G186" s="36">
        <v>300000</v>
      </c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1"/>
      <c r="B187" s="19"/>
      <c r="C187" s="19"/>
      <c r="D187" s="19"/>
      <c r="E187" s="27"/>
      <c r="F187" s="49"/>
      <c r="G187" s="36"/>
      <c r="H187" s="32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2">
        <v>2</v>
      </c>
      <c r="B188" s="59">
        <v>6</v>
      </c>
      <c r="C188" s="60"/>
      <c r="D188" s="60"/>
      <c r="E188" s="61"/>
      <c r="F188" s="50" t="s">
        <v>66</v>
      </c>
      <c r="G188" s="44">
        <f>G190+G196+G202+G199</f>
        <v>61333635</v>
      </c>
      <c r="H188" s="62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ht="12.75">
      <c r="A189" s="69"/>
      <c r="B189" s="17"/>
      <c r="C189" s="18"/>
      <c r="D189" s="18"/>
      <c r="E189" s="24"/>
      <c r="F189" s="51"/>
      <c r="G189" s="31"/>
      <c r="H189" s="32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2.75">
      <c r="A190" s="69">
        <v>2</v>
      </c>
      <c r="B190" s="17">
        <v>6</v>
      </c>
      <c r="C190" s="17">
        <v>1</v>
      </c>
      <c r="D190" s="17"/>
      <c r="E190" s="24"/>
      <c r="F190" s="47" t="s">
        <v>108</v>
      </c>
      <c r="G190" s="35">
        <f>G191+G192+G193+G194</f>
        <v>675000</v>
      </c>
      <c r="H190" s="32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69">
        <v>2</v>
      </c>
      <c r="B191" s="17">
        <v>6</v>
      </c>
      <c r="C191" s="17">
        <v>1</v>
      </c>
      <c r="D191" s="17">
        <v>1</v>
      </c>
      <c r="E191" s="24"/>
      <c r="F191" s="47" t="s">
        <v>147</v>
      </c>
      <c r="G191" s="35">
        <v>200000</v>
      </c>
      <c r="H191" s="32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69">
        <v>2</v>
      </c>
      <c r="B192" s="17">
        <v>6</v>
      </c>
      <c r="C192" s="17">
        <v>1</v>
      </c>
      <c r="D192" s="17">
        <v>2</v>
      </c>
      <c r="E192" s="24"/>
      <c r="F192" s="47" t="s">
        <v>109</v>
      </c>
      <c r="G192" s="35">
        <v>300000</v>
      </c>
      <c r="H192" s="32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69">
        <v>2</v>
      </c>
      <c r="B193" s="17">
        <v>6</v>
      </c>
      <c r="C193" s="17">
        <v>1</v>
      </c>
      <c r="D193" s="17">
        <v>4</v>
      </c>
      <c r="E193" s="24"/>
      <c r="F193" s="47" t="s">
        <v>132</v>
      </c>
      <c r="G193" s="35">
        <v>50000</v>
      </c>
      <c r="H193" s="32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69">
        <v>2</v>
      </c>
      <c r="B194" s="17">
        <v>6</v>
      </c>
      <c r="C194" s="17">
        <v>1</v>
      </c>
      <c r="D194" s="17">
        <v>9</v>
      </c>
      <c r="E194" s="24"/>
      <c r="F194" s="47" t="s">
        <v>67</v>
      </c>
      <c r="G194" s="35">
        <v>125000</v>
      </c>
      <c r="H194" s="32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70"/>
      <c r="B195" s="18"/>
      <c r="C195" s="18"/>
      <c r="D195" s="18"/>
      <c r="E195" s="24"/>
      <c r="F195" s="49"/>
      <c r="G195" s="35"/>
      <c r="H195" s="3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69">
        <v>2</v>
      </c>
      <c r="B196" s="17">
        <v>6</v>
      </c>
      <c r="C196" s="17">
        <v>2</v>
      </c>
      <c r="D196" s="18"/>
      <c r="E196" s="24"/>
      <c r="F196" s="47" t="s">
        <v>68</v>
      </c>
      <c r="G196" s="35">
        <f>+G197</f>
        <v>150000</v>
      </c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69">
        <v>2</v>
      </c>
      <c r="B197" s="17">
        <v>6</v>
      </c>
      <c r="C197" s="17">
        <v>2</v>
      </c>
      <c r="D197" s="17">
        <v>3</v>
      </c>
      <c r="E197" s="24"/>
      <c r="F197" s="47" t="s">
        <v>118</v>
      </c>
      <c r="G197" s="35">
        <v>150000</v>
      </c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70"/>
      <c r="B198" s="18"/>
      <c r="C198" s="18"/>
      <c r="D198" s="18"/>
      <c r="E198" s="24"/>
      <c r="F198" s="49"/>
      <c r="G198" s="36"/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69">
        <v>2</v>
      </c>
      <c r="B199" s="17">
        <v>6</v>
      </c>
      <c r="C199" s="17">
        <v>5</v>
      </c>
      <c r="D199" s="18"/>
      <c r="E199" s="24"/>
      <c r="F199" s="47" t="s">
        <v>110</v>
      </c>
      <c r="G199" s="35">
        <f>G200</f>
        <v>150000</v>
      </c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69">
        <v>2</v>
      </c>
      <c r="B200" s="17">
        <v>6</v>
      </c>
      <c r="C200" s="17">
        <v>5</v>
      </c>
      <c r="D200" s="17">
        <v>4</v>
      </c>
      <c r="E200" s="24"/>
      <c r="F200" s="47" t="s">
        <v>111</v>
      </c>
      <c r="G200" s="35">
        <v>150000</v>
      </c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0.5" customHeight="1">
      <c r="A201" s="70"/>
      <c r="B201" s="18"/>
      <c r="C201" s="18"/>
      <c r="D201" s="18"/>
      <c r="E201" s="24"/>
      <c r="F201" s="49"/>
      <c r="G201" s="36"/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2.75">
      <c r="A202" s="69">
        <v>2</v>
      </c>
      <c r="B202" s="17">
        <v>6</v>
      </c>
      <c r="C202" s="17">
        <v>8</v>
      </c>
      <c r="D202" s="18"/>
      <c r="E202" s="24"/>
      <c r="F202" s="47" t="s">
        <v>69</v>
      </c>
      <c r="G202" s="35">
        <f>+G203+G204+G207+G208</f>
        <v>60358635</v>
      </c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69">
        <v>2</v>
      </c>
      <c r="B203" s="17">
        <v>6</v>
      </c>
      <c r="C203" s="17">
        <v>8</v>
      </c>
      <c r="D203" s="17">
        <v>1</v>
      </c>
      <c r="E203" s="24"/>
      <c r="F203" s="47" t="s">
        <v>112</v>
      </c>
      <c r="G203" s="35">
        <v>59258635</v>
      </c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69">
        <v>2</v>
      </c>
      <c r="B204" s="17">
        <v>6</v>
      </c>
      <c r="C204" s="17">
        <v>8</v>
      </c>
      <c r="D204" s="17">
        <v>3</v>
      </c>
      <c r="E204" s="24"/>
      <c r="F204" s="47" t="s">
        <v>117</v>
      </c>
      <c r="G204" s="35">
        <f>G205+G206</f>
        <v>400000</v>
      </c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71">
        <v>2</v>
      </c>
      <c r="B205" s="19">
        <v>6</v>
      </c>
      <c r="C205" s="19">
        <v>8</v>
      </c>
      <c r="D205" s="19">
        <v>3</v>
      </c>
      <c r="E205" s="27" t="s">
        <v>149</v>
      </c>
      <c r="F205" s="49" t="s">
        <v>116</v>
      </c>
      <c r="G205" s="36">
        <v>150000</v>
      </c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1">
        <v>2</v>
      </c>
      <c r="B206" s="19">
        <v>6</v>
      </c>
      <c r="C206" s="19">
        <v>8</v>
      </c>
      <c r="D206" s="19">
        <v>3</v>
      </c>
      <c r="E206" s="27" t="s">
        <v>150</v>
      </c>
      <c r="F206" s="49" t="s">
        <v>70</v>
      </c>
      <c r="G206" s="36">
        <v>250000</v>
      </c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69">
        <v>2</v>
      </c>
      <c r="B207" s="17">
        <v>6</v>
      </c>
      <c r="C207" s="17">
        <v>8</v>
      </c>
      <c r="D207" s="17">
        <v>5</v>
      </c>
      <c r="E207" s="24"/>
      <c r="F207" s="47" t="s">
        <v>113</v>
      </c>
      <c r="G207" s="35">
        <v>350000</v>
      </c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69">
        <v>2</v>
      </c>
      <c r="B208" s="17">
        <v>6</v>
      </c>
      <c r="C208" s="17">
        <v>8</v>
      </c>
      <c r="D208" s="17">
        <v>8</v>
      </c>
      <c r="E208" s="24"/>
      <c r="F208" s="47" t="s">
        <v>114</v>
      </c>
      <c r="G208" s="35">
        <f>+G209</f>
        <v>350000</v>
      </c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3.5" thickBot="1">
      <c r="A209" s="69">
        <v>2</v>
      </c>
      <c r="B209" s="17">
        <v>6</v>
      </c>
      <c r="C209" s="17">
        <v>8</v>
      </c>
      <c r="D209" s="17">
        <v>8</v>
      </c>
      <c r="E209" s="27" t="s">
        <v>149</v>
      </c>
      <c r="F209" s="52" t="s">
        <v>115</v>
      </c>
      <c r="G209" s="53">
        <v>350000</v>
      </c>
      <c r="H209" s="54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ht="13.5" thickBot="1">
      <c r="A210" s="487"/>
      <c r="B210" s="488"/>
      <c r="C210" s="488"/>
      <c r="D210" s="488"/>
      <c r="E210" s="489"/>
      <c r="F210" s="56" t="s">
        <v>60</v>
      </c>
      <c r="G210" s="25">
        <f>G21+G61+G124+G168+G188</f>
        <v>171554192</v>
      </c>
      <c r="H210" s="57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6:8" ht="12.75">
      <c r="F211" s="9" t="s">
        <v>7</v>
      </c>
      <c r="G211" s="14"/>
      <c r="H211" s="7"/>
    </row>
    <row r="212" spans="6:8" ht="12.75">
      <c r="F212" s="15"/>
      <c r="G212" s="8" t="s">
        <v>7</v>
      </c>
      <c r="H212" s="12"/>
    </row>
    <row r="213" spans="6:8" ht="12.75">
      <c r="F213" s="20" t="s">
        <v>179</v>
      </c>
      <c r="G213" s="8"/>
      <c r="H213" s="7"/>
    </row>
    <row r="214" spans="6:8" ht="12.75">
      <c r="F214" s="21" t="s">
        <v>178</v>
      </c>
      <c r="G214" s="8"/>
      <c r="H214" s="7"/>
    </row>
    <row r="215" spans="6:8" ht="12.75">
      <c r="F215" s="22"/>
      <c r="G215" s="8"/>
      <c r="H215" s="7"/>
    </row>
    <row r="216" spans="6:8" ht="12.75">
      <c r="F216" s="23"/>
      <c r="H216" s="7"/>
    </row>
    <row r="217" spans="6:8" ht="12.75">
      <c r="F217" s="7" t="s">
        <v>13</v>
      </c>
      <c r="G217" s="13" t="s">
        <v>7</v>
      </c>
      <c r="H217" s="7"/>
    </row>
    <row r="218" spans="6:8" ht="12.75">
      <c r="F218" s="7"/>
      <c r="G218" s="1"/>
      <c r="H218" s="10"/>
    </row>
    <row r="219" spans="6:8" ht="12.75">
      <c r="F219" s="8"/>
      <c r="H219" s="11"/>
    </row>
    <row r="220" spans="6:8" ht="12.75">
      <c r="F220" s="1"/>
      <c r="H220" s="7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 t="s">
        <v>7</v>
      </c>
      <c r="G236" s="1"/>
    </row>
    <row r="237" spans="6:7" ht="12.75">
      <c r="F237" s="1"/>
      <c r="G237" s="5"/>
    </row>
    <row r="238" spans="6:7" ht="12.75">
      <c r="F238" s="2"/>
      <c r="G238" s="6"/>
    </row>
    <row r="239" spans="6:7" ht="12.75">
      <c r="F239" s="5"/>
      <c r="G239" s="5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2"/>
      <c r="G242" s="5"/>
    </row>
    <row r="249" ht="12.75">
      <c r="G249" s="4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spans="6:7" ht="12.75">
      <c r="F256" s="3"/>
      <c r="G256" s="3"/>
    </row>
    <row r="258" ht="12.75">
      <c r="F258" s="3"/>
    </row>
    <row r="259" ht="12.75">
      <c r="F259" s="3"/>
    </row>
    <row r="260" ht="12.75">
      <c r="F260" s="4"/>
    </row>
  </sheetData>
  <sheetProtection/>
  <mergeCells count="26">
    <mergeCell ref="R12:R20"/>
    <mergeCell ref="S12:S20"/>
    <mergeCell ref="A9:S9"/>
    <mergeCell ref="A1:S1"/>
    <mergeCell ref="A3:S3"/>
    <mergeCell ref="A5:S5"/>
    <mergeCell ref="A7:S7"/>
    <mergeCell ref="A10:S10"/>
    <mergeCell ref="L12:L20"/>
    <mergeCell ref="M12:M20"/>
    <mergeCell ref="N12:N20"/>
    <mergeCell ref="O12:O20"/>
    <mergeCell ref="P12:P20"/>
    <mergeCell ref="Q12:Q20"/>
    <mergeCell ref="C12:C20"/>
    <mergeCell ref="B12:B20"/>
    <mergeCell ref="H12:H20"/>
    <mergeCell ref="I12:I20"/>
    <mergeCell ref="J12:J20"/>
    <mergeCell ref="K12:K20"/>
    <mergeCell ref="A12:A20"/>
    <mergeCell ref="F12:F20"/>
    <mergeCell ref="G12:G20"/>
    <mergeCell ref="E12:E20"/>
    <mergeCell ref="D12:D20"/>
    <mergeCell ref="A210:E210"/>
  </mergeCells>
  <printOptions/>
  <pageMargins left="0.7874015748031497" right="0.5118110236220472" top="0.31496062992125984" bottom="0.7086614173228347" header="0.2755905511811024" footer="0.5118110236220472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31"/>
  <sheetViews>
    <sheetView tabSelected="1" zoomScale="110" zoomScaleNormal="110" zoomScalePageLayoutView="0" workbookViewId="0" topLeftCell="A1">
      <pane xSplit="7" ySplit="16" topLeftCell="W218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B223" sqref="AB223"/>
    </sheetView>
  </sheetViews>
  <sheetFormatPr defaultColWidth="11.00390625" defaultRowHeight="12.75"/>
  <cols>
    <col min="1" max="1" width="1.875" style="0" customWidth="1"/>
    <col min="2" max="2" width="2.125" style="0" customWidth="1"/>
    <col min="3" max="4" width="2.00390625" style="0" customWidth="1"/>
    <col min="5" max="5" width="2.375" style="0" customWidth="1"/>
    <col min="6" max="6" width="28.25390625" style="0" customWidth="1"/>
    <col min="7" max="7" width="10.625" style="150" customWidth="1"/>
    <col min="8" max="8" width="0.2421875" style="0" hidden="1" customWidth="1"/>
    <col min="9" max="9" width="12.00390625" style="79" customWidth="1"/>
    <col min="10" max="10" width="0.12890625" style="9" hidden="1" customWidth="1"/>
    <col min="11" max="11" width="0.12890625" style="79" customWidth="1"/>
    <col min="12" max="12" width="9.625" style="79" customWidth="1"/>
    <col min="13" max="13" width="0.2421875" style="9" hidden="1" customWidth="1"/>
    <col min="14" max="14" width="4.875" style="79" hidden="1" customWidth="1"/>
    <col min="15" max="15" width="10.00390625" style="79" customWidth="1"/>
    <col min="16" max="16" width="6.25390625" style="79" hidden="1" customWidth="1"/>
    <col min="17" max="18" width="0.2421875" style="0" hidden="1" customWidth="1"/>
    <col min="19" max="19" width="11.50390625" style="0" customWidth="1"/>
    <col min="20" max="22" width="10.375" style="0" customWidth="1"/>
    <col min="23" max="23" width="14.00390625" style="0" customWidth="1"/>
    <col min="24" max="27" width="10.375" style="0" customWidth="1"/>
    <col min="28" max="28" width="11.25390625" style="78" customWidth="1"/>
    <col min="29" max="29" width="10.25390625" style="92" hidden="1" customWidth="1"/>
    <col min="30" max="30" width="0.2421875" style="79" hidden="1" customWidth="1"/>
    <col min="31" max="31" width="10.50390625" style="79" hidden="1" customWidth="1"/>
    <col min="32" max="32" width="10.25390625" style="93" hidden="1" customWidth="1"/>
    <col min="33" max="33" width="0.12890625" style="79" hidden="1" customWidth="1"/>
    <col min="34" max="34" width="9.25390625" style="79" hidden="1" customWidth="1"/>
    <col min="35" max="35" width="10.25390625" style="79" hidden="1" customWidth="1"/>
    <col min="36" max="36" width="0.12890625" style="79" hidden="1" customWidth="1"/>
    <col min="37" max="37" width="9.50390625" style="79" hidden="1" customWidth="1"/>
    <col min="38" max="38" width="10.25390625" style="79" hidden="1" customWidth="1"/>
    <col min="39" max="39" width="0.12890625" style="0" hidden="1" customWidth="1"/>
    <col min="40" max="40" width="9.375" style="0" hidden="1" customWidth="1"/>
    <col min="41" max="42" width="0.12890625" style="0" hidden="1" customWidth="1"/>
    <col min="43" max="43" width="9.625" style="0" hidden="1" customWidth="1"/>
    <col min="44" max="44" width="10.875" style="0" hidden="1" customWidth="1"/>
    <col min="45" max="45" width="0.12890625" style="0" hidden="1" customWidth="1"/>
    <col min="46" max="46" width="9.625" style="0" hidden="1" customWidth="1"/>
    <col min="47" max="47" width="0.12890625" style="0" hidden="1" customWidth="1"/>
    <col min="48" max="48" width="0.37109375" style="0" hidden="1" customWidth="1"/>
    <col min="49" max="49" width="9.625" style="0" hidden="1" customWidth="1"/>
    <col min="50" max="50" width="0.12890625" style="0" hidden="1" customWidth="1"/>
    <col min="51" max="51" width="11.25390625" style="136" hidden="1" customWidth="1"/>
    <col min="52" max="52" width="10.00390625" style="136" hidden="1" customWidth="1"/>
    <col min="53" max="53" width="10.25390625" style="144" hidden="1" customWidth="1"/>
    <col min="54" max="54" width="0.12890625" style="79" hidden="1" customWidth="1"/>
    <col min="55" max="55" width="9.625" style="79" hidden="1" customWidth="1"/>
    <col min="56" max="56" width="0.12890625" style="0" hidden="1" customWidth="1"/>
    <col min="57" max="57" width="0.12890625" style="79" hidden="1" customWidth="1"/>
    <col min="58" max="58" width="9.50390625" style="79" hidden="1" customWidth="1"/>
    <col min="59" max="59" width="9.00390625" style="0" hidden="1" customWidth="1"/>
    <col min="60" max="60" width="0.12890625" style="79" hidden="1" customWidth="1"/>
    <col min="61" max="61" width="9.375" style="79" hidden="1" customWidth="1"/>
    <col min="62" max="62" width="9.125" style="0" hidden="1" customWidth="1"/>
    <col min="63" max="63" width="0.12890625" style="94" hidden="1" customWidth="1"/>
    <col min="64" max="64" width="10.50390625" style="94" hidden="1" customWidth="1"/>
    <col min="65" max="65" width="10.25390625" style="94" hidden="1" customWidth="1"/>
    <col min="66" max="66" width="10.75390625" style="0" hidden="1" customWidth="1"/>
    <col min="67" max="67" width="0.12890625" style="0" customWidth="1"/>
    <col min="68" max="68" width="11.25390625" style="7" customWidth="1"/>
  </cols>
  <sheetData>
    <row r="1" spans="1:68" ht="12.75">
      <c r="A1" s="493" t="s">
        <v>168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</row>
    <row r="2" spans="1:68" ht="12.75">
      <c r="A2" s="493" t="s">
        <v>169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</row>
    <row r="3" spans="1:68" ht="12.75">
      <c r="A3" s="493" t="s">
        <v>171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</row>
    <row r="4" spans="1:68" ht="12.75">
      <c r="A4" s="493" t="s">
        <v>170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</row>
    <row r="5" spans="1:68" ht="12.75">
      <c r="A5" s="493" t="s">
        <v>221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  <c r="BK5" s="494"/>
      <c r="BL5" s="494"/>
      <c r="BM5" s="494"/>
      <c r="BN5" s="494"/>
      <c r="BO5" s="494"/>
      <c r="BP5" s="494"/>
    </row>
    <row r="6" spans="1:68" ht="13.5" thickBot="1">
      <c r="A6" s="512" t="s">
        <v>264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13"/>
      <c r="BI6" s="513"/>
      <c r="BJ6" s="513"/>
      <c r="BK6" s="513"/>
      <c r="BL6" s="513"/>
      <c r="BM6" s="513"/>
      <c r="BN6" s="513"/>
      <c r="BO6" s="513"/>
      <c r="BP6" s="513"/>
    </row>
    <row r="7" spans="1:68" ht="3" customHeight="1">
      <c r="A7" s="555" t="s">
        <v>177</v>
      </c>
      <c r="B7" s="558" t="s">
        <v>176</v>
      </c>
      <c r="C7" s="514" t="s">
        <v>175</v>
      </c>
      <c r="D7" s="514" t="s">
        <v>174</v>
      </c>
      <c r="E7" s="552" t="s">
        <v>173</v>
      </c>
      <c r="F7" s="535" t="s">
        <v>201</v>
      </c>
      <c r="G7" s="538" t="s">
        <v>167</v>
      </c>
      <c r="H7" s="495"/>
      <c r="I7" s="496"/>
      <c r="J7" s="496"/>
      <c r="K7" s="531"/>
      <c r="L7" s="531"/>
      <c r="M7" s="531"/>
      <c r="N7" s="531"/>
      <c r="O7" s="531"/>
      <c r="P7" s="497"/>
      <c r="Q7" s="525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4"/>
      <c r="AC7" s="545"/>
      <c r="AD7" s="525" t="s">
        <v>183</v>
      </c>
      <c r="AE7" s="526"/>
      <c r="AF7" s="497"/>
      <c r="AG7" s="525" t="s">
        <v>184</v>
      </c>
      <c r="AH7" s="526"/>
      <c r="AI7" s="497"/>
      <c r="AJ7" s="525" t="s">
        <v>185</v>
      </c>
      <c r="AK7" s="526"/>
      <c r="AL7" s="497"/>
      <c r="AM7" s="495" t="s">
        <v>217</v>
      </c>
      <c r="AN7" s="504"/>
      <c r="AO7" s="505"/>
      <c r="AP7" s="495" t="s">
        <v>186</v>
      </c>
      <c r="AQ7" s="496"/>
      <c r="AR7" s="497"/>
      <c r="AS7" s="495" t="s">
        <v>187</v>
      </c>
      <c r="AT7" s="496"/>
      <c r="AU7" s="497"/>
      <c r="AV7" s="495" t="s">
        <v>188</v>
      </c>
      <c r="AW7" s="496"/>
      <c r="AX7" s="497"/>
      <c r="AY7" s="495" t="s">
        <v>218</v>
      </c>
      <c r="AZ7" s="504"/>
      <c r="BA7" s="505"/>
      <c r="BB7" s="495" t="s">
        <v>189</v>
      </c>
      <c r="BC7" s="496"/>
      <c r="BD7" s="497"/>
      <c r="BE7" s="495" t="s">
        <v>190</v>
      </c>
      <c r="BF7" s="496"/>
      <c r="BG7" s="497"/>
      <c r="BH7" s="495" t="s">
        <v>191</v>
      </c>
      <c r="BI7" s="496"/>
      <c r="BJ7" s="497"/>
      <c r="BK7" s="495" t="s">
        <v>219</v>
      </c>
      <c r="BL7" s="504"/>
      <c r="BM7" s="505"/>
      <c r="BN7" s="495" t="s">
        <v>210</v>
      </c>
      <c r="BO7" s="535" t="s">
        <v>211</v>
      </c>
      <c r="BP7" s="540" t="s">
        <v>197</v>
      </c>
    </row>
    <row r="8" spans="1:68" ht="6" customHeight="1">
      <c r="A8" s="556"/>
      <c r="B8" s="559"/>
      <c r="C8" s="515"/>
      <c r="D8" s="515"/>
      <c r="E8" s="553"/>
      <c r="F8" s="536"/>
      <c r="G8" s="539"/>
      <c r="H8" s="517"/>
      <c r="I8" s="499"/>
      <c r="J8" s="499"/>
      <c r="K8" s="532"/>
      <c r="L8" s="532"/>
      <c r="M8" s="532"/>
      <c r="N8" s="532"/>
      <c r="O8" s="532"/>
      <c r="P8" s="500"/>
      <c r="Q8" s="546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8"/>
      <c r="AD8" s="527"/>
      <c r="AE8" s="528"/>
      <c r="AF8" s="500"/>
      <c r="AG8" s="527"/>
      <c r="AH8" s="528"/>
      <c r="AI8" s="500"/>
      <c r="AJ8" s="527"/>
      <c r="AK8" s="528"/>
      <c r="AL8" s="500"/>
      <c r="AM8" s="506"/>
      <c r="AN8" s="507"/>
      <c r="AO8" s="508"/>
      <c r="AP8" s="498"/>
      <c r="AQ8" s="499"/>
      <c r="AR8" s="500"/>
      <c r="AS8" s="498"/>
      <c r="AT8" s="499"/>
      <c r="AU8" s="500"/>
      <c r="AV8" s="498"/>
      <c r="AW8" s="499"/>
      <c r="AX8" s="500"/>
      <c r="AY8" s="506"/>
      <c r="AZ8" s="507"/>
      <c r="BA8" s="508"/>
      <c r="BB8" s="498"/>
      <c r="BC8" s="499"/>
      <c r="BD8" s="500"/>
      <c r="BE8" s="498"/>
      <c r="BF8" s="499"/>
      <c r="BG8" s="500"/>
      <c r="BH8" s="498"/>
      <c r="BI8" s="499"/>
      <c r="BJ8" s="500"/>
      <c r="BK8" s="506"/>
      <c r="BL8" s="507"/>
      <c r="BM8" s="508"/>
      <c r="BN8" s="498"/>
      <c r="BO8" s="536"/>
      <c r="BP8" s="541"/>
    </row>
    <row r="9" spans="1:68" ht="6.75" customHeight="1">
      <c r="A9" s="556"/>
      <c r="B9" s="559"/>
      <c r="C9" s="515"/>
      <c r="D9" s="515"/>
      <c r="E9" s="553"/>
      <c r="F9" s="536"/>
      <c r="G9" s="539"/>
      <c r="H9" s="517"/>
      <c r="I9" s="499"/>
      <c r="J9" s="499"/>
      <c r="K9" s="532"/>
      <c r="L9" s="532"/>
      <c r="M9" s="532"/>
      <c r="N9" s="532"/>
      <c r="O9" s="532"/>
      <c r="P9" s="500"/>
      <c r="Q9" s="546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8"/>
      <c r="AD9" s="527"/>
      <c r="AE9" s="528"/>
      <c r="AF9" s="500"/>
      <c r="AG9" s="527"/>
      <c r="AH9" s="528"/>
      <c r="AI9" s="500"/>
      <c r="AJ9" s="527"/>
      <c r="AK9" s="528"/>
      <c r="AL9" s="500"/>
      <c r="AM9" s="506"/>
      <c r="AN9" s="507"/>
      <c r="AO9" s="508"/>
      <c r="AP9" s="498"/>
      <c r="AQ9" s="499"/>
      <c r="AR9" s="500"/>
      <c r="AS9" s="498"/>
      <c r="AT9" s="499"/>
      <c r="AU9" s="500"/>
      <c r="AV9" s="498"/>
      <c r="AW9" s="499"/>
      <c r="AX9" s="500"/>
      <c r="AY9" s="506"/>
      <c r="AZ9" s="507"/>
      <c r="BA9" s="508"/>
      <c r="BB9" s="498"/>
      <c r="BC9" s="499"/>
      <c r="BD9" s="500"/>
      <c r="BE9" s="498"/>
      <c r="BF9" s="499"/>
      <c r="BG9" s="500"/>
      <c r="BH9" s="498"/>
      <c r="BI9" s="499"/>
      <c r="BJ9" s="500"/>
      <c r="BK9" s="506"/>
      <c r="BL9" s="507"/>
      <c r="BM9" s="508"/>
      <c r="BN9" s="498"/>
      <c r="BO9" s="536"/>
      <c r="BP9" s="541"/>
    </row>
    <row r="10" spans="1:68" ht="8.25" customHeight="1">
      <c r="A10" s="556"/>
      <c r="B10" s="559"/>
      <c r="C10" s="515"/>
      <c r="D10" s="515"/>
      <c r="E10" s="553"/>
      <c r="F10" s="536"/>
      <c r="G10" s="539"/>
      <c r="H10" s="517"/>
      <c r="I10" s="499"/>
      <c r="J10" s="499"/>
      <c r="K10" s="532"/>
      <c r="L10" s="532"/>
      <c r="M10" s="532"/>
      <c r="N10" s="532"/>
      <c r="O10" s="532"/>
      <c r="P10" s="500"/>
      <c r="Q10" s="546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8"/>
      <c r="AD10" s="527"/>
      <c r="AE10" s="528"/>
      <c r="AF10" s="500"/>
      <c r="AG10" s="527"/>
      <c r="AH10" s="528"/>
      <c r="AI10" s="500"/>
      <c r="AJ10" s="527"/>
      <c r="AK10" s="528"/>
      <c r="AL10" s="500"/>
      <c r="AM10" s="506"/>
      <c r="AN10" s="507"/>
      <c r="AO10" s="508"/>
      <c r="AP10" s="498"/>
      <c r="AQ10" s="499"/>
      <c r="AR10" s="500"/>
      <c r="AS10" s="498"/>
      <c r="AT10" s="499"/>
      <c r="AU10" s="500"/>
      <c r="AV10" s="498"/>
      <c r="AW10" s="499"/>
      <c r="AX10" s="500"/>
      <c r="AY10" s="506"/>
      <c r="AZ10" s="507"/>
      <c r="BA10" s="508"/>
      <c r="BB10" s="498"/>
      <c r="BC10" s="499"/>
      <c r="BD10" s="500"/>
      <c r="BE10" s="498"/>
      <c r="BF10" s="499"/>
      <c r="BG10" s="500"/>
      <c r="BH10" s="498"/>
      <c r="BI10" s="499"/>
      <c r="BJ10" s="500"/>
      <c r="BK10" s="506"/>
      <c r="BL10" s="507"/>
      <c r="BM10" s="508"/>
      <c r="BN10" s="498"/>
      <c r="BO10" s="536"/>
      <c r="BP10" s="541"/>
    </row>
    <row r="11" spans="1:68" ht="6.75" customHeight="1">
      <c r="A11" s="556"/>
      <c r="B11" s="559"/>
      <c r="C11" s="515"/>
      <c r="D11" s="515"/>
      <c r="E11" s="553"/>
      <c r="F11" s="536"/>
      <c r="G11" s="539"/>
      <c r="H11" s="517"/>
      <c r="I11" s="499"/>
      <c r="J11" s="499"/>
      <c r="K11" s="532"/>
      <c r="L11" s="532"/>
      <c r="M11" s="532"/>
      <c r="N11" s="532"/>
      <c r="O11" s="532"/>
      <c r="P11" s="500"/>
      <c r="Q11" s="546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8"/>
      <c r="AD11" s="527"/>
      <c r="AE11" s="528"/>
      <c r="AF11" s="500"/>
      <c r="AG11" s="527"/>
      <c r="AH11" s="528"/>
      <c r="AI11" s="500"/>
      <c r="AJ11" s="527"/>
      <c r="AK11" s="528"/>
      <c r="AL11" s="500"/>
      <c r="AM11" s="506"/>
      <c r="AN11" s="507"/>
      <c r="AO11" s="508"/>
      <c r="AP11" s="498"/>
      <c r="AQ11" s="499"/>
      <c r="AR11" s="500"/>
      <c r="AS11" s="498"/>
      <c r="AT11" s="499"/>
      <c r="AU11" s="500"/>
      <c r="AV11" s="498"/>
      <c r="AW11" s="499"/>
      <c r="AX11" s="500"/>
      <c r="AY11" s="506"/>
      <c r="AZ11" s="507"/>
      <c r="BA11" s="508"/>
      <c r="BB11" s="498"/>
      <c r="BC11" s="499"/>
      <c r="BD11" s="500"/>
      <c r="BE11" s="498"/>
      <c r="BF11" s="499"/>
      <c r="BG11" s="500"/>
      <c r="BH11" s="498"/>
      <c r="BI11" s="499"/>
      <c r="BJ11" s="500"/>
      <c r="BK11" s="506"/>
      <c r="BL11" s="507"/>
      <c r="BM11" s="508"/>
      <c r="BN11" s="498"/>
      <c r="BO11" s="536"/>
      <c r="BP11" s="541"/>
    </row>
    <row r="12" spans="1:68" ht="9.75" customHeight="1">
      <c r="A12" s="556"/>
      <c r="B12" s="559"/>
      <c r="C12" s="515"/>
      <c r="D12" s="515"/>
      <c r="E12" s="553"/>
      <c r="F12" s="536"/>
      <c r="G12" s="539"/>
      <c r="H12" s="517"/>
      <c r="I12" s="499"/>
      <c r="J12" s="499"/>
      <c r="K12" s="532"/>
      <c r="L12" s="532"/>
      <c r="M12" s="532"/>
      <c r="N12" s="532"/>
      <c r="O12" s="532"/>
      <c r="P12" s="500"/>
      <c r="Q12" s="546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8"/>
      <c r="AD12" s="527"/>
      <c r="AE12" s="528"/>
      <c r="AF12" s="500"/>
      <c r="AG12" s="527"/>
      <c r="AH12" s="528"/>
      <c r="AI12" s="500"/>
      <c r="AJ12" s="527"/>
      <c r="AK12" s="528"/>
      <c r="AL12" s="500"/>
      <c r="AM12" s="506"/>
      <c r="AN12" s="507"/>
      <c r="AO12" s="508"/>
      <c r="AP12" s="498"/>
      <c r="AQ12" s="499"/>
      <c r="AR12" s="500"/>
      <c r="AS12" s="498"/>
      <c r="AT12" s="499"/>
      <c r="AU12" s="500"/>
      <c r="AV12" s="498"/>
      <c r="AW12" s="499"/>
      <c r="AX12" s="500"/>
      <c r="AY12" s="506"/>
      <c r="AZ12" s="507"/>
      <c r="BA12" s="508"/>
      <c r="BB12" s="498"/>
      <c r="BC12" s="499"/>
      <c r="BD12" s="500"/>
      <c r="BE12" s="498"/>
      <c r="BF12" s="499"/>
      <c r="BG12" s="500"/>
      <c r="BH12" s="498"/>
      <c r="BI12" s="499"/>
      <c r="BJ12" s="500"/>
      <c r="BK12" s="506"/>
      <c r="BL12" s="507"/>
      <c r="BM12" s="508"/>
      <c r="BN12" s="498"/>
      <c r="BO12" s="536"/>
      <c r="BP12" s="541"/>
    </row>
    <row r="13" spans="1:68" ht="9" customHeight="1">
      <c r="A13" s="556"/>
      <c r="B13" s="559"/>
      <c r="C13" s="515"/>
      <c r="D13" s="515"/>
      <c r="E13" s="553"/>
      <c r="F13" s="536"/>
      <c r="G13" s="539"/>
      <c r="H13" s="517"/>
      <c r="I13" s="499"/>
      <c r="J13" s="499"/>
      <c r="K13" s="532"/>
      <c r="L13" s="532"/>
      <c r="M13" s="532"/>
      <c r="N13" s="532"/>
      <c r="O13" s="532"/>
      <c r="P13" s="500"/>
      <c r="Q13" s="546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8"/>
      <c r="AD13" s="527"/>
      <c r="AE13" s="528"/>
      <c r="AF13" s="500"/>
      <c r="AG13" s="527"/>
      <c r="AH13" s="528"/>
      <c r="AI13" s="500"/>
      <c r="AJ13" s="527"/>
      <c r="AK13" s="528"/>
      <c r="AL13" s="500"/>
      <c r="AM13" s="506"/>
      <c r="AN13" s="507"/>
      <c r="AO13" s="508"/>
      <c r="AP13" s="498"/>
      <c r="AQ13" s="499"/>
      <c r="AR13" s="500"/>
      <c r="AS13" s="498"/>
      <c r="AT13" s="499"/>
      <c r="AU13" s="500"/>
      <c r="AV13" s="498"/>
      <c r="AW13" s="499"/>
      <c r="AX13" s="500"/>
      <c r="AY13" s="506"/>
      <c r="AZ13" s="507"/>
      <c r="BA13" s="508"/>
      <c r="BB13" s="498"/>
      <c r="BC13" s="499"/>
      <c r="BD13" s="500"/>
      <c r="BE13" s="498"/>
      <c r="BF13" s="499"/>
      <c r="BG13" s="500"/>
      <c r="BH13" s="498"/>
      <c r="BI13" s="499"/>
      <c r="BJ13" s="500"/>
      <c r="BK13" s="506"/>
      <c r="BL13" s="507"/>
      <c r="BM13" s="508"/>
      <c r="BN13" s="498"/>
      <c r="BO13" s="536"/>
      <c r="BP13" s="541"/>
    </row>
    <row r="14" spans="1:68" ht="7.5" customHeight="1">
      <c r="A14" s="556"/>
      <c r="B14" s="559"/>
      <c r="C14" s="515"/>
      <c r="D14" s="515"/>
      <c r="E14" s="553"/>
      <c r="F14" s="536"/>
      <c r="G14" s="539"/>
      <c r="H14" s="517"/>
      <c r="I14" s="499"/>
      <c r="J14" s="499"/>
      <c r="K14" s="532"/>
      <c r="L14" s="532"/>
      <c r="M14" s="532"/>
      <c r="N14" s="532"/>
      <c r="O14" s="532"/>
      <c r="P14" s="500"/>
      <c r="Q14" s="546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8"/>
      <c r="AD14" s="527"/>
      <c r="AE14" s="528"/>
      <c r="AF14" s="500"/>
      <c r="AG14" s="527"/>
      <c r="AH14" s="528"/>
      <c r="AI14" s="500"/>
      <c r="AJ14" s="527"/>
      <c r="AK14" s="528"/>
      <c r="AL14" s="500"/>
      <c r="AM14" s="506"/>
      <c r="AN14" s="507"/>
      <c r="AO14" s="508"/>
      <c r="AP14" s="498"/>
      <c r="AQ14" s="499"/>
      <c r="AR14" s="500"/>
      <c r="AS14" s="498"/>
      <c r="AT14" s="499"/>
      <c r="AU14" s="500"/>
      <c r="AV14" s="498"/>
      <c r="AW14" s="499"/>
      <c r="AX14" s="500"/>
      <c r="AY14" s="506"/>
      <c r="AZ14" s="507"/>
      <c r="BA14" s="508"/>
      <c r="BB14" s="498"/>
      <c r="BC14" s="499"/>
      <c r="BD14" s="500"/>
      <c r="BE14" s="498"/>
      <c r="BF14" s="499"/>
      <c r="BG14" s="500"/>
      <c r="BH14" s="498"/>
      <c r="BI14" s="499"/>
      <c r="BJ14" s="500"/>
      <c r="BK14" s="506"/>
      <c r="BL14" s="507"/>
      <c r="BM14" s="508"/>
      <c r="BN14" s="498"/>
      <c r="BO14" s="536"/>
      <c r="BP14" s="541"/>
    </row>
    <row r="15" spans="1:68" ht="11.25" customHeight="1" thickBot="1">
      <c r="A15" s="556"/>
      <c r="B15" s="559"/>
      <c r="C15" s="515"/>
      <c r="D15" s="515"/>
      <c r="E15" s="553"/>
      <c r="F15" s="536"/>
      <c r="G15" s="539"/>
      <c r="H15" s="533"/>
      <c r="I15" s="502"/>
      <c r="J15" s="502"/>
      <c r="K15" s="534"/>
      <c r="L15" s="534"/>
      <c r="M15" s="534"/>
      <c r="N15" s="534"/>
      <c r="O15" s="534"/>
      <c r="P15" s="503"/>
      <c r="Q15" s="549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1"/>
      <c r="AD15" s="529"/>
      <c r="AE15" s="530"/>
      <c r="AF15" s="503"/>
      <c r="AG15" s="529"/>
      <c r="AH15" s="530"/>
      <c r="AI15" s="503"/>
      <c r="AJ15" s="529"/>
      <c r="AK15" s="530"/>
      <c r="AL15" s="503"/>
      <c r="AM15" s="509"/>
      <c r="AN15" s="510"/>
      <c r="AO15" s="511"/>
      <c r="AP15" s="501"/>
      <c r="AQ15" s="502"/>
      <c r="AR15" s="503"/>
      <c r="AS15" s="501"/>
      <c r="AT15" s="502"/>
      <c r="AU15" s="503"/>
      <c r="AV15" s="501"/>
      <c r="AW15" s="502"/>
      <c r="AX15" s="503"/>
      <c r="AY15" s="509"/>
      <c r="AZ15" s="510"/>
      <c r="BA15" s="511"/>
      <c r="BB15" s="501"/>
      <c r="BC15" s="502"/>
      <c r="BD15" s="503"/>
      <c r="BE15" s="501"/>
      <c r="BF15" s="502"/>
      <c r="BG15" s="503"/>
      <c r="BH15" s="501"/>
      <c r="BI15" s="502"/>
      <c r="BJ15" s="503"/>
      <c r="BK15" s="509"/>
      <c r="BL15" s="510"/>
      <c r="BM15" s="511"/>
      <c r="BN15" s="498"/>
      <c r="BO15" s="536"/>
      <c r="BP15" s="541"/>
    </row>
    <row r="16" spans="1:68" ht="32.25" customHeight="1" thickBot="1">
      <c r="A16" s="557"/>
      <c r="B16" s="560"/>
      <c r="C16" s="516"/>
      <c r="D16" s="516"/>
      <c r="E16" s="554"/>
      <c r="F16" s="537"/>
      <c r="G16" s="539"/>
      <c r="H16" s="470" t="s">
        <v>198</v>
      </c>
      <c r="I16" s="185" t="s">
        <v>180</v>
      </c>
      <c r="J16" s="186"/>
      <c r="K16" s="186"/>
      <c r="L16" s="185" t="s">
        <v>181</v>
      </c>
      <c r="M16" s="186"/>
      <c r="N16" s="186"/>
      <c r="O16" s="185" t="s">
        <v>182</v>
      </c>
      <c r="P16" s="186" t="s">
        <v>200</v>
      </c>
      <c r="Q16" s="185" t="s">
        <v>198</v>
      </c>
      <c r="R16" s="185"/>
      <c r="S16" s="185" t="s">
        <v>183</v>
      </c>
      <c r="T16" s="185" t="s">
        <v>184</v>
      </c>
      <c r="U16" s="185" t="s">
        <v>185</v>
      </c>
      <c r="V16" s="185" t="s">
        <v>186</v>
      </c>
      <c r="W16" s="185" t="s">
        <v>187</v>
      </c>
      <c r="X16" s="185" t="s">
        <v>188</v>
      </c>
      <c r="Y16" s="185" t="s">
        <v>235</v>
      </c>
      <c r="Z16" s="185" t="s">
        <v>190</v>
      </c>
      <c r="AA16" s="185" t="s">
        <v>191</v>
      </c>
      <c r="AB16" s="185" t="s">
        <v>199</v>
      </c>
      <c r="AC16" s="187" t="s">
        <v>200</v>
      </c>
      <c r="AD16" s="186" t="s">
        <v>198</v>
      </c>
      <c r="AE16" s="185" t="s">
        <v>199</v>
      </c>
      <c r="AF16" s="188" t="s">
        <v>200</v>
      </c>
      <c r="AG16" s="186" t="s">
        <v>198</v>
      </c>
      <c r="AH16" s="185" t="s">
        <v>199</v>
      </c>
      <c r="AI16" s="187" t="s">
        <v>200</v>
      </c>
      <c r="AJ16" s="186" t="s">
        <v>198</v>
      </c>
      <c r="AK16" s="185" t="s">
        <v>199</v>
      </c>
      <c r="AL16" s="187" t="s">
        <v>200</v>
      </c>
      <c r="AM16" s="185" t="s">
        <v>198</v>
      </c>
      <c r="AN16" s="185" t="s">
        <v>199</v>
      </c>
      <c r="AO16" s="186" t="s">
        <v>200</v>
      </c>
      <c r="AP16" s="470" t="s">
        <v>198</v>
      </c>
      <c r="AQ16" s="185" t="s">
        <v>199</v>
      </c>
      <c r="AR16" s="186" t="s">
        <v>200</v>
      </c>
      <c r="AS16" s="470" t="s">
        <v>198</v>
      </c>
      <c r="AT16" s="185" t="s">
        <v>199</v>
      </c>
      <c r="AU16" s="186" t="s">
        <v>200</v>
      </c>
      <c r="AV16" s="470" t="s">
        <v>198</v>
      </c>
      <c r="AW16" s="185" t="s">
        <v>199</v>
      </c>
      <c r="AX16" s="186" t="s">
        <v>200</v>
      </c>
      <c r="AY16" s="186" t="s">
        <v>198</v>
      </c>
      <c r="AZ16" s="185" t="s">
        <v>199</v>
      </c>
      <c r="BA16" s="186" t="s">
        <v>200</v>
      </c>
      <c r="BB16" s="186" t="s">
        <v>198</v>
      </c>
      <c r="BC16" s="185" t="s">
        <v>199</v>
      </c>
      <c r="BD16" s="186" t="s">
        <v>212</v>
      </c>
      <c r="BE16" s="186" t="s">
        <v>198</v>
      </c>
      <c r="BF16" s="185" t="s">
        <v>199</v>
      </c>
      <c r="BG16" s="186" t="s">
        <v>200</v>
      </c>
      <c r="BH16" s="186" t="s">
        <v>198</v>
      </c>
      <c r="BI16" s="185" t="s">
        <v>199</v>
      </c>
      <c r="BJ16" s="186" t="s">
        <v>200</v>
      </c>
      <c r="BK16" s="469" t="s">
        <v>198</v>
      </c>
      <c r="BL16" s="190" t="s">
        <v>199</v>
      </c>
      <c r="BM16" s="191" t="s">
        <v>200</v>
      </c>
      <c r="BN16" s="517"/>
      <c r="BO16" s="537"/>
      <c r="BP16" s="542"/>
    </row>
    <row r="17" spans="1:68" ht="22.5" thickBot="1">
      <c r="A17" s="192">
        <v>2</v>
      </c>
      <c r="B17" s="193">
        <v>1</v>
      </c>
      <c r="C17" s="193"/>
      <c r="D17" s="193"/>
      <c r="E17" s="194"/>
      <c r="F17" s="195" t="s">
        <v>56</v>
      </c>
      <c r="G17" s="182">
        <f>G19+G32+G41+G48+G52</f>
        <v>39122974</v>
      </c>
      <c r="H17" s="182">
        <f>H19+H32+H41+H52</f>
        <v>0</v>
      </c>
      <c r="I17" s="180">
        <f>I19+I32+I41+I52</f>
        <v>2032079.76</v>
      </c>
      <c r="J17" s="196" t="e">
        <f>I17/H17</f>
        <v>#DIV/0!</v>
      </c>
      <c r="K17" s="197">
        <f>K19+K32+K41+K52</f>
        <v>0</v>
      </c>
      <c r="L17" s="182">
        <f>L19+L32+L41+L52</f>
        <v>2032079.76</v>
      </c>
      <c r="M17" s="178" t="e">
        <f>L17/K17</f>
        <v>#DIV/0!</v>
      </c>
      <c r="N17" s="182">
        <f aca="true" t="shared" si="0" ref="N17:AA17">N19+N32+N41+N52</f>
        <v>0</v>
      </c>
      <c r="O17" s="182">
        <f t="shared" si="0"/>
        <v>2396396.5000000005</v>
      </c>
      <c r="P17" s="182" t="e">
        <f t="shared" si="0"/>
        <v>#DIV/0!</v>
      </c>
      <c r="Q17" s="182">
        <f t="shared" si="0"/>
        <v>0</v>
      </c>
      <c r="R17" s="182">
        <f t="shared" si="0"/>
        <v>0</v>
      </c>
      <c r="S17" s="182">
        <f t="shared" si="0"/>
        <v>2502808.93</v>
      </c>
      <c r="T17" s="182">
        <f t="shared" si="0"/>
        <v>2463290.79</v>
      </c>
      <c r="U17" s="182">
        <f t="shared" si="0"/>
        <v>2524705.8000000003</v>
      </c>
      <c r="V17" s="182">
        <f t="shared" si="0"/>
        <v>2539532.8100000005</v>
      </c>
      <c r="W17" s="182">
        <f>W19+W32+W41+W48+W52</f>
        <v>2543659.4800000004</v>
      </c>
      <c r="X17" s="182">
        <f>X19+X32+X41+X52</f>
        <v>2547786.13</v>
      </c>
      <c r="Y17" s="182">
        <f t="shared" si="0"/>
        <v>0</v>
      </c>
      <c r="Z17" s="182">
        <f t="shared" si="0"/>
        <v>0</v>
      </c>
      <c r="AA17" s="182">
        <f t="shared" si="0"/>
        <v>0</v>
      </c>
      <c r="AB17" s="182">
        <f>+AB19+AB32+AB41+AB52</f>
        <v>21582339.960000005</v>
      </c>
      <c r="AC17" s="198" t="e">
        <f>AB17/Q17</f>
        <v>#DIV/0!</v>
      </c>
      <c r="AD17" s="182">
        <f>AD19+AD32+AD41+AD52</f>
        <v>0</v>
      </c>
      <c r="AE17" s="180">
        <f>AE19+AE32+AE41+AE52</f>
        <v>0</v>
      </c>
      <c r="AF17" s="178" t="e">
        <f>AE17/AD17</f>
        <v>#DIV/0!</v>
      </c>
      <c r="AG17" s="182">
        <f>AG19+AG32+AG41+AG52</f>
        <v>0</v>
      </c>
      <c r="AH17" s="180">
        <f>AH19+AH32+AH41+AH52</f>
        <v>0</v>
      </c>
      <c r="AI17" s="178" t="e">
        <f>AH17/AG17</f>
        <v>#DIV/0!</v>
      </c>
      <c r="AJ17" s="182">
        <f>AJ19+AJ32+AJ41+AJ52</f>
        <v>0</v>
      </c>
      <c r="AK17" s="180">
        <f>AK19+AK32+AK41+AK52</f>
        <v>0</v>
      </c>
      <c r="AL17" s="178" t="e">
        <f>AK17/AJ17</f>
        <v>#DIV/0!</v>
      </c>
      <c r="AM17" s="182">
        <f>AM19+AM32+AM41+AM52</f>
        <v>0</v>
      </c>
      <c r="AN17" s="182">
        <f>AN19+AN32+AN41+AN52</f>
        <v>0</v>
      </c>
      <c r="AO17" s="198" t="e">
        <f>AN17/AM17</f>
        <v>#DIV/0!</v>
      </c>
      <c r="AP17" s="182">
        <f>AP19+AP32+AP41+AP52</f>
        <v>0</v>
      </c>
      <c r="AQ17" s="180">
        <f>AQ19+AQ32+AQ41+AQ52</f>
        <v>0</v>
      </c>
      <c r="AR17" s="179" t="e">
        <f>AQ17/AP17</f>
        <v>#DIV/0!</v>
      </c>
      <c r="AS17" s="182">
        <f>AS19+AS32+AS41+AS52</f>
        <v>0</v>
      </c>
      <c r="AT17" s="180">
        <f>AT19+AT32+AT41+AT52</f>
        <v>0</v>
      </c>
      <c r="AU17" s="180" t="e">
        <f>AT17/AS17</f>
        <v>#DIV/0!</v>
      </c>
      <c r="AV17" s="182">
        <f>AV19+AV32+AV41+AV52</f>
        <v>0</v>
      </c>
      <c r="AW17" s="182">
        <f>AW19+AW32+AW41+AW52</f>
        <v>0</v>
      </c>
      <c r="AX17" s="182" t="e">
        <f>AW17/AV17</f>
        <v>#DIV/0!</v>
      </c>
      <c r="AY17" s="182">
        <f>AY19+AY32+AY41+AY52</f>
        <v>0</v>
      </c>
      <c r="AZ17" s="182">
        <f>AZ19+AZ32+AZ41+AZ52</f>
        <v>0</v>
      </c>
      <c r="BA17" s="198" t="e">
        <f>AZ17/AY17</f>
        <v>#DIV/0!</v>
      </c>
      <c r="BB17" s="182">
        <f>BB19+BB32+BB41+BB52</f>
        <v>0</v>
      </c>
      <c r="BC17" s="182">
        <f>BC19+BC32+BC41+BC52</f>
        <v>0</v>
      </c>
      <c r="BD17" s="182" t="e">
        <f>BC17/BB17</f>
        <v>#DIV/0!</v>
      </c>
      <c r="BE17" s="182">
        <f>BE19+BE32+BE41+BE52</f>
        <v>0</v>
      </c>
      <c r="BF17" s="182">
        <f>BF19+BF32+BF41+BF52</f>
        <v>0</v>
      </c>
      <c r="BG17" s="182" t="e">
        <f>BF17/BE17</f>
        <v>#DIV/0!</v>
      </c>
      <c r="BH17" s="182">
        <f>BH19+BH32+BH41+BH52</f>
        <v>0</v>
      </c>
      <c r="BI17" s="180">
        <f>BI19+BI32+BI41+BI52</f>
        <v>0</v>
      </c>
      <c r="BJ17" s="180" t="e">
        <f>BI17/BH17</f>
        <v>#DIV/0!</v>
      </c>
      <c r="BK17" s="182">
        <f>BK19+BK32+BK41+BK52</f>
        <v>0</v>
      </c>
      <c r="BL17" s="182">
        <f>BL19+BL32+BL41+BL52</f>
        <v>0</v>
      </c>
      <c r="BM17" s="198" t="e">
        <f>BL17/BK17</f>
        <v>#DIV/0!</v>
      </c>
      <c r="BN17" s="180">
        <f>BN19+BN32+BN41+BN52</f>
        <v>6460556.0200000005</v>
      </c>
      <c r="BO17" s="178">
        <f>BN17/G17</f>
        <v>0.16513458358252622</v>
      </c>
      <c r="BP17" s="197">
        <f>+G17-AB17</f>
        <v>17540634.039999995</v>
      </c>
    </row>
    <row r="18" spans="1:68" ht="13.5" thickBot="1">
      <c r="A18" s="125"/>
      <c r="B18" s="126"/>
      <c r="C18" s="126"/>
      <c r="D18" s="126"/>
      <c r="E18" s="199"/>
      <c r="F18" s="80"/>
      <c r="G18" s="81"/>
      <c r="H18" s="81"/>
      <c r="I18" s="111"/>
      <c r="J18" s="112"/>
      <c r="K18" s="113"/>
      <c r="L18" s="114"/>
      <c r="M18" s="115"/>
      <c r="N18" s="114"/>
      <c r="O18" s="114"/>
      <c r="P18" s="115"/>
      <c r="Q18" s="200">
        <f>H18+K18+N18</f>
        <v>0</v>
      </c>
      <c r="R18" s="214"/>
      <c r="S18" s="214"/>
      <c r="T18" s="214"/>
      <c r="U18" s="214"/>
      <c r="V18" s="214"/>
      <c r="W18" s="420"/>
      <c r="X18" s="235"/>
      <c r="Y18" s="424"/>
      <c r="Z18" s="424"/>
      <c r="AA18" s="424"/>
      <c r="AB18" s="232"/>
      <c r="AC18" s="442"/>
      <c r="AD18" s="81"/>
      <c r="AE18" s="111"/>
      <c r="AF18" s="115"/>
      <c r="AG18" s="81"/>
      <c r="AH18" s="111"/>
      <c r="AI18" s="115"/>
      <c r="AJ18" s="81"/>
      <c r="AK18" s="111"/>
      <c r="AL18" s="115"/>
      <c r="AM18" s="116"/>
      <c r="AN18" s="116"/>
      <c r="AO18" s="201"/>
      <c r="AP18" s="81"/>
      <c r="AQ18" s="111"/>
      <c r="AR18" s="117"/>
      <c r="AS18" s="81"/>
      <c r="AT18" s="111"/>
      <c r="AU18" s="118"/>
      <c r="AV18" s="116"/>
      <c r="AW18" s="116"/>
      <c r="AX18" s="81"/>
      <c r="AY18" s="114"/>
      <c r="AZ18" s="114"/>
      <c r="BA18" s="201"/>
      <c r="BB18" s="114"/>
      <c r="BC18" s="114"/>
      <c r="BD18" s="81"/>
      <c r="BE18" s="114"/>
      <c r="BF18" s="114"/>
      <c r="BG18" s="81"/>
      <c r="BH18" s="114"/>
      <c r="BI18" s="111"/>
      <c r="BJ18" s="118"/>
      <c r="BK18" s="116"/>
      <c r="BL18" s="116"/>
      <c r="BM18" s="201"/>
      <c r="BN18" s="118"/>
      <c r="BO18" s="119"/>
      <c r="BP18" s="197">
        <f aca="true" t="shared" si="1" ref="BP18:BP81">+G18-AB18</f>
        <v>0</v>
      </c>
    </row>
    <row r="19" spans="1:69" s="76" customFormat="1" ht="13.5" thickBot="1">
      <c r="A19" s="102">
        <v>2</v>
      </c>
      <c r="B19" s="103">
        <v>1</v>
      </c>
      <c r="C19" s="103">
        <v>1</v>
      </c>
      <c r="D19" s="103"/>
      <c r="E19" s="202"/>
      <c r="F19" s="155" t="s">
        <v>57</v>
      </c>
      <c r="G19" s="82">
        <f>G20+G22+G28+G29+G30</f>
        <v>32448674</v>
      </c>
      <c r="H19" s="82">
        <f>H20+H22+H28+H29</f>
        <v>0</v>
      </c>
      <c r="I19" s="131">
        <f>I20+I22+I28+I29</f>
        <v>1509581.96</v>
      </c>
      <c r="J19" s="138" t="e">
        <f aca="true" t="shared" si="2" ref="J19:J90">I19/H19</f>
        <v>#DIV/0!</v>
      </c>
      <c r="K19" s="203">
        <f aca="true" t="shared" si="3" ref="K19:AA19">K20+K22+K28+K29</f>
        <v>0</v>
      </c>
      <c r="L19" s="82">
        <f t="shared" si="3"/>
        <v>1509581.96</v>
      </c>
      <c r="M19" s="89" t="e">
        <f aca="true" t="shared" si="4" ref="M19:M90">L19/K19</f>
        <v>#DIV/0!</v>
      </c>
      <c r="N19" s="82">
        <f t="shared" si="3"/>
        <v>0</v>
      </c>
      <c r="O19" s="82">
        <f t="shared" si="3"/>
        <v>1824620.4400000002</v>
      </c>
      <c r="P19" s="82" t="e">
        <f t="shared" si="3"/>
        <v>#DIV/0!</v>
      </c>
      <c r="Q19" s="82">
        <f t="shared" si="3"/>
        <v>0</v>
      </c>
      <c r="R19" s="82">
        <f t="shared" si="3"/>
        <v>0</v>
      </c>
      <c r="S19" s="82">
        <f t="shared" si="3"/>
        <v>1787109.28</v>
      </c>
      <c r="T19" s="82">
        <f t="shared" si="3"/>
        <v>1798424.28</v>
      </c>
      <c r="U19" s="82">
        <f t="shared" si="3"/>
        <v>2183694.2800000003</v>
      </c>
      <c r="V19" s="82">
        <f t="shared" si="3"/>
        <v>2196007.6100000003</v>
      </c>
      <c r="W19" s="131">
        <f>W20+W22+W28+W29+W30</f>
        <v>2200134.2800000003</v>
      </c>
      <c r="X19" s="131">
        <f>X20+X22+X28+X29</f>
        <v>2204260.93</v>
      </c>
      <c r="Y19" s="131">
        <f t="shared" si="3"/>
        <v>0</v>
      </c>
      <c r="Z19" s="131">
        <f t="shared" si="3"/>
        <v>0</v>
      </c>
      <c r="AA19" s="131">
        <f t="shared" si="3"/>
        <v>0</v>
      </c>
      <c r="AB19" s="82">
        <f>AB20+AB22+AB28+AB29+AB30</f>
        <v>17213415.020000003</v>
      </c>
      <c r="AC19" s="443" t="e">
        <f>AB19/Q19</f>
        <v>#DIV/0!</v>
      </c>
      <c r="AD19" s="82">
        <f>AD20+AD22+AD28+AD29</f>
        <v>0</v>
      </c>
      <c r="AE19" s="131">
        <f>AE20+AE22+AE28+AE29</f>
        <v>0</v>
      </c>
      <c r="AF19" s="89" t="e">
        <f aca="true" t="shared" si="5" ref="AF19:AF90">AE19/AD19</f>
        <v>#DIV/0!</v>
      </c>
      <c r="AG19" s="82">
        <f>AG20+AG22+AG28+AG29</f>
        <v>0</v>
      </c>
      <c r="AH19" s="131">
        <f>AH20+AH22+AH28+AH29</f>
        <v>0</v>
      </c>
      <c r="AI19" s="89" t="e">
        <f aca="true" t="shared" si="6" ref="AI19:AI90">AH19/AG19</f>
        <v>#DIV/0!</v>
      </c>
      <c r="AJ19" s="82">
        <f>AJ20+AJ22+AJ28+AJ29</f>
        <v>0</v>
      </c>
      <c r="AK19" s="131">
        <f>AK20+AK22+AK28+AK29</f>
        <v>0</v>
      </c>
      <c r="AL19" s="89" t="e">
        <f aca="true" t="shared" si="7" ref="AL19:AL90">AK19/AJ19</f>
        <v>#DIV/0!</v>
      </c>
      <c r="AM19" s="82">
        <f>AM20+AM22+AM28+AM29</f>
        <v>0</v>
      </c>
      <c r="AN19" s="82">
        <f>AN20+AN22+AN28+AN29</f>
        <v>0</v>
      </c>
      <c r="AO19" s="204" t="e">
        <f aca="true" t="shared" si="8" ref="AO19:AO29">AN19/AM19</f>
        <v>#DIV/0!</v>
      </c>
      <c r="AP19" s="82">
        <f>AP20+AP22+AP28+AP29</f>
        <v>0</v>
      </c>
      <c r="AQ19" s="131">
        <f>AQ20+AQ22+AQ28+AQ29</f>
        <v>0</v>
      </c>
      <c r="AR19" s="98" t="e">
        <f aca="true" t="shared" si="9" ref="AR19:AR90">AQ19/AP19</f>
        <v>#DIV/0!</v>
      </c>
      <c r="AS19" s="82">
        <f>AS20+AS22+AS28+AS29</f>
        <v>0</v>
      </c>
      <c r="AT19" s="131">
        <f>AT20+AT22+AT28+AT29</f>
        <v>0</v>
      </c>
      <c r="AU19" s="99" t="e">
        <f aca="true" t="shared" si="10" ref="AU19:AU90">AT19/AS19</f>
        <v>#DIV/0!</v>
      </c>
      <c r="AV19" s="82">
        <f>AV20+AV22+AV28+AV29</f>
        <v>0</v>
      </c>
      <c r="AW19" s="82">
        <f>AW20+AW22+AW28+AW29</f>
        <v>0</v>
      </c>
      <c r="AX19" s="100" t="e">
        <f aca="true" t="shared" si="11" ref="AX19:AX90">AW19/AV19</f>
        <v>#DIV/0!</v>
      </c>
      <c r="AY19" s="82">
        <f>AY20+AY22+AY28+AY29</f>
        <v>0</v>
      </c>
      <c r="AZ19" s="82">
        <f>AZ20+AZ22+AZ28+AZ29</f>
        <v>0</v>
      </c>
      <c r="BA19" s="204" t="e">
        <f aca="true" t="shared" si="12" ref="BA19:BA29">AZ19/AY19</f>
        <v>#DIV/0!</v>
      </c>
      <c r="BB19" s="82">
        <f>BB20+BB22+BB28+BB29</f>
        <v>0</v>
      </c>
      <c r="BC19" s="82">
        <f aca="true" t="shared" si="13" ref="BC19:BH19">BC20+BC22+BC28+BC29</f>
        <v>0</v>
      </c>
      <c r="BD19" s="100" t="e">
        <f aca="true" t="shared" si="14" ref="BD19:BD90">BC19/BB19</f>
        <v>#DIV/0!</v>
      </c>
      <c r="BE19" s="82">
        <f t="shared" si="13"/>
        <v>0</v>
      </c>
      <c r="BF19" s="82">
        <f t="shared" si="13"/>
        <v>0</v>
      </c>
      <c r="BG19" s="100" t="e">
        <f aca="true" t="shared" si="15" ref="BG19:BG90">BF19/BE19</f>
        <v>#DIV/0!</v>
      </c>
      <c r="BH19" s="82">
        <f t="shared" si="13"/>
        <v>0</v>
      </c>
      <c r="BI19" s="131">
        <f>BI20+BI22+BI28+BI29</f>
        <v>0</v>
      </c>
      <c r="BJ19" s="99" t="e">
        <f aca="true" t="shared" si="16" ref="BJ19:BJ90">BI19/BH19</f>
        <v>#DIV/0!</v>
      </c>
      <c r="BK19" s="82">
        <f>BK20+BK22+BK28+BK29</f>
        <v>0</v>
      </c>
      <c r="BL19" s="82">
        <f>BL20+BL22+BL28+BL29</f>
        <v>0</v>
      </c>
      <c r="BM19" s="204" t="e">
        <f aca="true" t="shared" si="17" ref="BM19:BM29">BL19/BK19</f>
        <v>#DIV/0!</v>
      </c>
      <c r="BN19" s="131">
        <f>BN20+BN22+BN28+BN29</f>
        <v>4843784.36</v>
      </c>
      <c r="BO19" s="134">
        <f aca="true" t="shared" si="18" ref="BO19:BO90">BN19/G19</f>
        <v>0.14927526345144335</v>
      </c>
      <c r="BP19" s="197">
        <f t="shared" si="1"/>
        <v>15235258.979999997</v>
      </c>
      <c r="BQ19" s="78"/>
    </row>
    <row r="20" spans="1:69" ht="13.5" thickBot="1">
      <c r="A20" s="102">
        <v>2</v>
      </c>
      <c r="B20" s="103">
        <v>1</v>
      </c>
      <c r="C20" s="103">
        <v>1</v>
      </c>
      <c r="D20" s="103">
        <v>1</v>
      </c>
      <c r="E20" s="202"/>
      <c r="F20" s="155" t="s">
        <v>58</v>
      </c>
      <c r="G20" s="82">
        <f>G21</f>
        <v>26344395</v>
      </c>
      <c r="H20" s="82">
        <f>H21</f>
        <v>0</v>
      </c>
      <c r="I20" s="131">
        <f>I21</f>
        <v>1433621.96</v>
      </c>
      <c r="J20" s="138" t="e">
        <f t="shared" si="2"/>
        <v>#DIV/0!</v>
      </c>
      <c r="K20" s="203">
        <f aca="true" t="shared" si="19" ref="K20:AA20">K21</f>
        <v>0</v>
      </c>
      <c r="L20" s="82">
        <f t="shared" si="19"/>
        <v>1433621.96</v>
      </c>
      <c r="M20" s="89" t="e">
        <f t="shared" si="4"/>
        <v>#DIV/0!</v>
      </c>
      <c r="N20" s="82">
        <f t="shared" si="19"/>
        <v>0</v>
      </c>
      <c r="O20" s="82">
        <f t="shared" si="19"/>
        <v>1570208.12</v>
      </c>
      <c r="P20" s="82" t="e">
        <f t="shared" si="19"/>
        <v>#DIV/0!</v>
      </c>
      <c r="Q20" s="82">
        <f t="shared" si="19"/>
        <v>0</v>
      </c>
      <c r="R20" s="82">
        <f t="shared" si="19"/>
        <v>0</v>
      </c>
      <c r="S20" s="82">
        <f t="shared" si="19"/>
        <v>1634723.12</v>
      </c>
      <c r="T20" s="82">
        <f t="shared" si="19"/>
        <v>1671638.12</v>
      </c>
      <c r="U20" s="82">
        <f t="shared" si="19"/>
        <v>2026983.12</v>
      </c>
      <c r="V20" s="82">
        <f t="shared" si="19"/>
        <v>2017423.12</v>
      </c>
      <c r="W20" s="131">
        <f>W21</f>
        <v>2017423.12</v>
      </c>
      <c r="X20" s="131">
        <f t="shared" si="19"/>
        <v>2017423.12</v>
      </c>
      <c r="Y20" s="131">
        <f t="shared" si="19"/>
        <v>0</v>
      </c>
      <c r="Z20" s="131">
        <f t="shared" si="19"/>
        <v>0</v>
      </c>
      <c r="AA20" s="131">
        <f t="shared" si="19"/>
        <v>0</v>
      </c>
      <c r="AB20" s="82">
        <f>AB21</f>
        <v>15823065.760000002</v>
      </c>
      <c r="AC20" s="443" t="e">
        <f>AB20/Q20</f>
        <v>#DIV/0!</v>
      </c>
      <c r="AD20" s="82">
        <f>AD21</f>
        <v>0</v>
      </c>
      <c r="AE20" s="131">
        <f>AE21</f>
        <v>0</v>
      </c>
      <c r="AF20" s="89" t="e">
        <f t="shared" si="5"/>
        <v>#DIV/0!</v>
      </c>
      <c r="AG20" s="82">
        <f>AG21</f>
        <v>0</v>
      </c>
      <c r="AH20" s="131">
        <f>AH21</f>
        <v>0</v>
      </c>
      <c r="AI20" s="89" t="e">
        <f t="shared" si="6"/>
        <v>#DIV/0!</v>
      </c>
      <c r="AJ20" s="82">
        <f>AJ21</f>
        <v>0</v>
      </c>
      <c r="AK20" s="131">
        <f>AK21</f>
        <v>0</v>
      </c>
      <c r="AL20" s="89" t="e">
        <f t="shared" si="7"/>
        <v>#DIV/0!</v>
      </c>
      <c r="AM20" s="82">
        <f>AM21</f>
        <v>0</v>
      </c>
      <c r="AN20" s="82">
        <f>AN21</f>
        <v>0</v>
      </c>
      <c r="AO20" s="204" t="e">
        <f t="shared" si="8"/>
        <v>#DIV/0!</v>
      </c>
      <c r="AP20" s="82">
        <f>AP21</f>
        <v>0</v>
      </c>
      <c r="AQ20" s="131">
        <f>AQ21</f>
        <v>0</v>
      </c>
      <c r="AR20" s="98" t="e">
        <f t="shared" si="9"/>
        <v>#DIV/0!</v>
      </c>
      <c r="AS20" s="82">
        <f>AS21</f>
        <v>0</v>
      </c>
      <c r="AT20" s="131">
        <f>AT21</f>
        <v>0</v>
      </c>
      <c r="AU20" s="99" t="e">
        <f t="shared" si="10"/>
        <v>#DIV/0!</v>
      </c>
      <c r="AV20" s="82">
        <f>AV21</f>
        <v>0</v>
      </c>
      <c r="AW20" s="82">
        <f>AW21</f>
        <v>0</v>
      </c>
      <c r="AX20" s="100" t="e">
        <f t="shared" si="11"/>
        <v>#DIV/0!</v>
      </c>
      <c r="AY20" s="82">
        <f>AY21</f>
        <v>0</v>
      </c>
      <c r="AZ20" s="82">
        <f>AZ21</f>
        <v>0</v>
      </c>
      <c r="BA20" s="204" t="e">
        <f t="shared" si="12"/>
        <v>#DIV/0!</v>
      </c>
      <c r="BB20" s="82">
        <f aca="true" t="shared" si="20" ref="BB20:BI20">BB21</f>
        <v>0</v>
      </c>
      <c r="BC20" s="82">
        <f t="shared" si="20"/>
        <v>0</v>
      </c>
      <c r="BD20" s="100" t="e">
        <f t="shared" si="14"/>
        <v>#DIV/0!</v>
      </c>
      <c r="BE20" s="82">
        <f t="shared" si="20"/>
        <v>0</v>
      </c>
      <c r="BF20" s="82">
        <f t="shared" si="20"/>
        <v>0</v>
      </c>
      <c r="BG20" s="100" t="e">
        <f t="shared" si="15"/>
        <v>#DIV/0!</v>
      </c>
      <c r="BH20" s="82">
        <f t="shared" si="20"/>
        <v>0</v>
      </c>
      <c r="BI20" s="131">
        <f t="shared" si="20"/>
        <v>0</v>
      </c>
      <c r="BJ20" s="99" t="e">
        <f t="shared" si="16"/>
        <v>#DIV/0!</v>
      </c>
      <c r="BK20" s="82">
        <f>BK21</f>
        <v>0</v>
      </c>
      <c r="BL20" s="82">
        <f>BL21</f>
        <v>0</v>
      </c>
      <c r="BM20" s="204" t="e">
        <f t="shared" si="17"/>
        <v>#DIV/0!</v>
      </c>
      <c r="BN20" s="131">
        <f>BN21</f>
        <v>4437452.04</v>
      </c>
      <c r="BO20" s="134">
        <f t="shared" si="18"/>
        <v>0.1684400814670445</v>
      </c>
      <c r="BP20" s="197">
        <f t="shared" si="1"/>
        <v>10521329.239999998</v>
      </c>
      <c r="BQ20" s="78"/>
    </row>
    <row r="21" spans="1:68" s="78" customFormat="1" ht="13.5" thickBot="1">
      <c r="A21" s="83">
        <v>2</v>
      </c>
      <c r="B21" s="84">
        <v>1</v>
      </c>
      <c r="C21" s="84">
        <v>1</v>
      </c>
      <c r="D21" s="84">
        <v>1</v>
      </c>
      <c r="E21" s="85" t="s">
        <v>149</v>
      </c>
      <c r="F21" s="90" t="s">
        <v>0</v>
      </c>
      <c r="G21" s="88">
        <f>25359495+627437+507000-149537</f>
        <v>26344395</v>
      </c>
      <c r="H21" s="88"/>
      <c r="I21" s="88">
        <v>1433621.96</v>
      </c>
      <c r="J21" s="137" t="e">
        <f t="shared" si="2"/>
        <v>#DIV/0!</v>
      </c>
      <c r="K21" s="148"/>
      <c r="L21" s="88">
        <v>1433621.96</v>
      </c>
      <c r="M21" s="140" t="e">
        <f t="shared" si="4"/>
        <v>#DIV/0!</v>
      </c>
      <c r="N21" s="88"/>
      <c r="O21" s="88">
        <v>1570208.12</v>
      </c>
      <c r="P21" s="140" t="e">
        <f aca="true" t="shared" si="21" ref="P21:P90">O21/N21</f>
        <v>#DIV/0!</v>
      </c>
      <c r="Q21" s="200">
        <f>H21+K21+N21</f>
        <v>0</v>
      </c>
      <c r="R21" s="200"/>
      <c r="S21" s="200">
        <v>1634723.12</v>
      </c>
      <c r="T21" s="200">
        <v>1671638.12</v>
      </c>
      <c r="U21" s="200">
        <f>9560+2017423.12</f>
        <v>2026983.12</v>
      </c>
      <c r="V21" s="200">
        <v>2017423.12</v>
      </c>
      <c r="W21" s="421">
        <v>2017423.12</v>
      </c>
      <c r="X21" s="235">
        <v>2017423.12</v>
      </c>
      <c r="Y21" s="424">
        <v>0</v>
      </c>
      <c r="Z21" s="424">
        <v>0</v>
      </c>
      <c r="AA21" s="424">
        <v>0</v>
      </c>
      <c r="AB21" s="238">
        <f>+I21+L21+O21+S21+T21+U21+V21+W21+X21+Y21+Z21+AA21</f>
        <v>15823065.760000002</v>
      </c>
      <c r="AC21" s="443" t="e">
        <f>AB21/Q21</f>
        <v>#DIV/0!</v>
      </c>
      <c r="AD21" s="88"/>
      <c r="AE21" s="97"/>
      <c r="AF21" s="140" t="e">
        <f t="shared" si="5"/>
        <v>#DIV/0!</v>
      </c>
      <c r="AG21" s="88"/>
      <c r="AH21" s="97"/>
      <c r="AI21" s="140" t="e">
        <f t="shared" si="6"/>
        <v>#DIV/0!</v>
      </c>
      <c r="AJ21" s="88"/>
      <c r="AK21" s="97"/>
      <c r="AL21" s="140" t="e">
        <f t="shared" si="7"/>
        <v>#DIV/0!</v>
      </c>
      <c r="AM21" s="200">
        <f>AD21+AG21+AJ21</f>
        <v>0</v>
      </c>
      <c r="AN21" s="200">
        <f>AE21+AH21+AK21</f>
        <v>0</v>
      </c>
      <c r="AO21" s="204" t="e">
        <f t="shared" si="8"/>
        <v>#DIV/0!</v>
      </c>
      <c r="AP21" s="88"/>
      <c r="AQ21" s="97"/>
      <c r="AR21" s="141" t="e">
        <f t="shared" si="9"/>
        <v>#DIV/0!</v>
      </c>
      <c r="AS21" s="88"/>
      <c r="AT21" s="97"/>
      <c r="AU21" s="142" t="e">
        <f t="shared" si="10"/>
        <v>#DIV/0!</v>
      </c>
      <c r="AV21" s="88"/>
      <c r="AW21" s="88"/>
      <c r="AX21" s="143" t="e">
        <f t="shared" si="11"/>
        <v>#DIV/0!</v>
      </c>
      <c r="AY21" s="88"/>
      <c r="AZ21" s="88">
        <f>AQ21+AT21+AW21</f>
        <v>0</v>
      </c>
      <c r="BA21" s="204" t="e">
        <f t="shared" si="12"/>
        <v>#DIV/0!</v>
      </c>
      <c r="BB21" s="88"/>
      <c r="BC21" s="88"/>
      <c r="BD21" s="143" t="e">
        <f t="shared" si="14"/>
        <v>#DIV/0!</v>
      </c>
      <c r="BE21" s="88"/>
      <c r="BF21" s="88"/>
      <c r="BG21" s="143" t="e">
        <f t="shared" si="15"/>
        <v>#DIV/0!</v>
      </c>
      <c r="BH21" s="88"/>
      <c r="BI21" s="97"/>
      <c r="BJ21" s="99" t="e">
        <f t="shared" si="16"/>
        <v>#DIV/0!</v>
      </c>
      <c r="BK21" s="200">
        <f>BB21+BE21+BH21</f>
        <v>0</v>
      </c>
      <c r="BL21" s="200">
        <f>BC21+BF21+BI21</f>
        <v>0</v>
      </c>
      <c r="BM21" s="204" t="e">
        <f t="shared" si="17"/>
        <v>#DIV/0!</v>
      </c>
      <c r="BN21" s="97">
        <f>I21+L21+O21+AE21+AH21+AK21+AQ21+AT21+AW21+BC21+BF21+BI21</f>
        <v>4437452.04</v>
      </c>
      <c r="BO21" s="134">
        <f t="shared" si="18"/>
        <v>0.1684400814670445</v>
      </c>
      <c r="BP21" s="197">
        <f t="shared" si="1"/>
        <v>10521329.239999998</v>
      </c>
    </row>
    <row r="22" spans="1:68" ht="22.5" thickBot="1">
      <c r="A22" s="102">
        <v>2</v>
      </c>
      <c r="B22" s="103">
        <v>1</v>
      </c>
      <c r="C22" s="103">
        <v>1</v>
      </c>
      <c r="D22" s="103">
        <v>2</v>
      </c>
      <c r="E22" s="202"/>
      <c r="F22" s="156" t="s">
        <v>18</v>
      </c>
      <c r="G22" s="82">
        <f>G23+G24+G25+G26+G27</f>
        <v>3012000</v>
      </c>
      <c r="H22" s="82">
        <f>H23+H24+H25+H26+H27</f>
        <v>0</v>
      </c>
      <c r="I22" s="131">
        <f>I23+I24+I25+I26+I27</f>
        <v>75960</v>
      </c>
      <c r="J22" s="138" t="e">
        <f t="shared" si="2"/>
        <v>#DIV/0!</v>
      </c>
      <c r="K22" s="203">
        <f>K23+K24+K25+K26+K27</f>
        <v>0</v>
      </c>
      <c r="L22" s="82">
        <f>L23+L24+L25+L26+L27</f>
        <v>75960</v>
      </c>
      <c r="M22" s="89" t="e">
        <f t="shared" si="4"/>
        <v>#DIV/0!</v>
      </c>
      <c r="N22" s="82">
        <f aca="true" t="shared" si="22" ref="N22:AA22">N23+N24+N25+N26+N27</f>
        <v>0</v>
      </c>
      <c r="O22" s="82">
        <f t="shared" si="22"/>
        <v>254412.32</v>
      </c>
      <c r="P22" s="82" t="e">
        <f t="shared" si="22"/>
        <v>#DIV/0!</v>
      </c>
      <c r="Q22" s="82">
        <f t="shared" si="22"/>
        <v>0</v>
      </c>
      <c r="R22" s="82">
        <f t="shared" si="22"/>
        <v>0</v>
      </c>
      <c r="S22" s="82">
        <f t="shared" si="22"/>
        <v>152386.16</v>
      </c>
      <c r="T22" s="82">
        <f t="shared" si="22"/>
        <v>126786.16</v>
      </c>
      <c r="U22" s="82">
        <f t="shared" si="22"/>
        <v>156711.16</v>
      </c>
      <c r="V22" s="82">
        <f t="shared" si="22"/>
        <v>178584.49</v>
      </c>
      <c r="W22" s="131">
        <f>W23+W24+W25+W26+W27</f>
        <v>182711.16</v>
      </c>
      <c r="X22" s="131">
        <f t="shared" si="22"/>
        <v>186837.81</v>
      </c>
      <c r="Y22" s="232">
        <f t="shared" si="22"/>
        <v>0</v>
      </c>
      <c r="Z22" s="232">
        <f t="shared" si="22"/>
        <v>0</v>
      </c>
      <c r="AA22" s="426">
        <f t="shared" si="22"/>
        <v>0</v>
      </c>
      <c r="AB22" s="82">
        <f>AB23+AB24+AB25+AB26+AB27</f>
        <v>1390349.2600000002</v>
      </c>
      <c r="AC22" s="443" t="e">
        <f aca="true" t="shared" si="23" ref="AC22:AC95">AB22/Q22</f>
        <v>#DIV/0!</v>
      </c>
      <c r="AD22" s="82">
        <f>AD23+AD24+AD25+AD26+AD27</f>
        <v>0</v>
      </c>
      <c r="AE22" s="131">
        <f>AE23+AE24+AE25+AE26+AE27</f>
        <v>0</v>
      </c>
      <c r="AF22" s="89" t="e">
        <f t="shared" si="5"/>
        <v>#DIV/0!</v>
      </c>
      <c r="AG22" s="82">
        <f>AG23+AG24+AG25+AG26+AG27</f>
        <v>0</v>
      </c>
      <c r="AH22" s="131">
        <f>AH23+AH24+AH25+AH26+AH27</f>
        <v>0</v>
      </c>
      <c r="AI22" s="89" t="e">
        <f t="shared" si="6"/>
        <v>#DIV/0!</v>
      </c>
      <c r="AJ22" s="82">
        <f>AJ23+AJ24+AJ25+AJ26+AJ27</f>
        <v>0</v>
      </c>
      <c r="AK22" s="131">
        <f>AK23+AK24+AK25+AK26+AK27</f>
        <v>0</v>
      </c>
      <c r="AL22" s="89" t="e">
        <f t="shared" si="7"/>
        <v>#DIV/0!</v>
      </c>
      <c r="AM22" s="82">
        <f>AM23+AM24+AM25+AM26+AM27</f>
        <v>0</v>
      </c>
      <c r="AN22" s="82">
        <f>AN23+AN24+AN25+AN26+AN27</f>
        <v>0</v>
      </c>
      <c r="AO22" s="204" t="e">
        <f t="shared" si="8"/>
        <v>#DIV/0!</v>
      </c>
      <c r="AP22" s="82">
        <f>AP23+AP24+AP25+AP26+AP27</f>
        <v>0</v>
      </c>
      <c r="AQ22" s="131">
        <f>AQ23+AQ24+AQ25+AQ26+AQ27</f>
        <v>0</v>
      </c>
      <c r="AR22" s="98" t="e">
        <f t="shared" si="9"/>
        <v>#DIV/0!</v>
      </c>
      <c r="AS22" s="82">
        <f>AS23+AS24+AS25+AS26+AS27</f>
        <v>0</v>
      </c>
      <c r="AT22" s="131">
        <f>AT23+AT24+AT25+AT26+AT27</f>
        <v>0</v>
      </c>
      <c r="AU22" s="99" t="e">
        <f t="shared" si="10"/>
        <v>#DIV/0!</v>
      </c>
      <c r="AV22" s="82">
        <f>AV23+AV24+AV25+AV26+AV27</f>
        <v>0</v>
      </c>
      <c r="AW22" s="82">
        <f>AW23+AW24+AW25+AW26+AW27</f>
        <v>0</v>
      </c>
      <c r="AX22" s="100" t="e">
        <f t="shared" si="11"/>
        <v>#DIV/0!</v>
      </c>
      <c r="AY22" s="82">
        <f>AY23+AY24+AY25+AY26+AY27</f>
        <v>0</v>
      </c>
      <c r="AZ22" s="82">
        <f>AZ23+AZ24+AZ25+AZ26+AZ27</f>
        <v>0</v>
      </c>
      <c r="BA22" s="204" t="e">
        <f t="shared" si="12"/>
        <v>#DIV/0!</v>
      </c>
      <c r="BB22" s="82"/>
      <c r="BC22" s="82">
        <f>BC23+BC24+BC25+BC26+BC27</f>
        <v>0</v>
      </c>
      <c r="BD22" s="100" t="e">
        <f t="shared" si="14"/>
        <v>#DIV/0!</v>
      </c>
      <c r="BE22" s="82">
        <f>BE23+BE24+BE25+BE26+BE27</f>
        <v>0</v>
      </c>
      <c r="BF22" s="82">
        <f>BF23+BF24+BF25+BF26+BF27</f>
        <v>0</v>
      </c>
      <c r="BG22" s="100" t="e">
        <f t="shared" si="15"/>
        <v>#DIV/0!</v>
      </c>
      <c r="BH22" s="82">
        <f>BH23+BH24+BH25+BH26+BH27</f>
        <v>0</v>
      </c>
      <c r="BI22" s="131">
        <f>BI23+BI24+BI25+BI26+BI27</f>
        <v>0</v>
      </c>
      <c r="BJ22" s="99" t="e">
        <f t="shared" si="16"/>
        <v>#DIV/0!</v>
      </c>
      <c r="BK22" s="82">
        <f>BK23+BK24+BK25+BK26+BK27</f>
        <v>0</v>
      </c>
      <c r="BL22" s="82">
        <f>BL23+BL24+BL25+BL26+BL27</f>
        <v>0</v>
      </c>
      <c r="BM22" s="204" t="e">
        <f t="shared" si="17"/>
        <v>#DIV/0!</v>
      </c>
      <c r="BN22" s="131">
        <f>BN23+BN24+BN25+BN26+BN27</f>
        <v>406332.32</v>
      </c>
      <c r="BO22" s="134">
        <f>BN22/G22</f>
        <v>0.1349044887118194</v>
      </c>
      <c r="BP22" s="197">
        <f>+G22-AB22</f>
        <v>1621650.7399999998</v>
      </c>
    </row>
    <row r="23" spans="1:70" ht="13.5" thickBot="1">
      <c r="A23" s="83">
        <v>2</v>
      </c>
      <c r="B23" s="84">
        <v>1</v>
      </c>
      <c r="C23" s="84">
        <v>1</v>
      </c>
      <c r="D23" s="84">
        <v>2</v>
      </c>
      <c r="E23" s="85" t="s">
        <v>149</v>
      </c>
      <c r="F23" s="153" t="s">
        <v>21</v>
      </c>
      <c r="G23" s="88">
        <f>1505000-200000-693000</f>
        <v>612000</v>
      </c>
      <c r="H23" s="88"/>
      <c r="I23" s="97">
        <v>50360</v>
      </c>
      <c r="J23" s="137" t="e">
        <f t="shared" si="2"/>
        <v>#DIV/0!</v>
      </c>
      <c r="K23" s="148"/>
      <c r="L23" s="88">
        <v>50360</v>
      </c>
      <c r="M23" s="140" t="e">
        <f t="shared" si="4"/>
        <v>#DIV/0!</v>
      </c>
      <c r="N23" s="88"/>
      <c r="O23" s="88">
        <v>24760</v>
      </c>
      <c r="P23" s="140" t="e">
        <f t="shared" si="21"/>
        <v>#DIV/0!</v>
      </c>
      <c r="Q23" s="200">
        <f>N23+K23+H23</f>
        <v>0</v>
      </c>
      <c r="R23" s="200"/>
      <c r="S23" s="200">
        <v>24760</v>
      </c>
      <c r="T23" s="200">
        <v>24760</v>
      </c>
      <c r="U23" s="200">
        <v>24760</v>
      </c>
      <c r="V23" s="200">
        <v>20633.33</v>
      </c>
      <c r="W23" s="421">
        <v>24760</v>
      </c>
      <c r="X23" s="425">
        <f>24760+4126.65</f>
        <v>28886.65</v>
      </c>
      <c r="Y23" s="235">
        <v>0</v>
      </c>
      <c r="Z23" s="235">
        <v>0</v>
      </c>
      <c r="AA23" s="425">
        <v>0</v>
      </c>
      <c r="AB23" s="238">
        <f>+I23+L23+O23+S23+T23+U23+V23+W23+X23+Y23+Z23+AA23</f>
        <v>274039.98000000004</v>
      </c>
      <c r="AC23" s="443" t="e">
        <f t="shared" si="23"/>
        <v>#DIV/0!</v>
      </c>
      <c r="AD23" s="88"/>
      <c r="AE23" s="97"/>
      <c r="AF23" s="140" t="e">
        <f t="shared" si="5"/>
        <v>#DIV/0!</v>
      </c>
      <c r="AG23" s="88"/>
      <c r="AH23" s="97"/>
      <c r="AI23" s="140" t="e">
        <f t="shared" si="6"/>
        <v>#DIV/0!</v>
      </c>
      <c r="AJ23" s="88"/>
      <c r="AK23" s="97"/>
      <c r="AL23" s="140" t="e">
        <f t="shared" si="7"/>
        <v>#DIV/0!</v>
      </c>
      <c r="AM23" s="200">
        <f>AJ23+AG23+AD23</f>
        <v>0</v>
      </c>
      <c r="AN23" s="200">
        <f>AK23+AH23+AE23</f>
        <v>0</v>
      </c>
      <c r="AO23" s="204" t="e">
        <f t="shared" si="8"/>
        <v>#DIV/0!</v>
      </c>
      <c r="AP23" s="88"/>
      <c r="AQ23" s="97"/>
      <c r="AR23" s="141" t="e">
        <f t="shared" si="9"/>
        <v>#DIV/0!</v>
      </c>
      <c r="AS23" s="88"/>
      <c r="AT23" s="97"/>
      <c r="AU23" s="142" t="e">
        <f t="shared" si="10"/>
        <v>#DIV/0!</v>
      </c>
      <c r="AV23" s="86"/>
      <c r="AW23" s="86"/>
      <c r="AX23" s="143" t="e">
        <f t="shared" si="11"/>
        <v>#DIV/0!</v>
      </c>
      <c r="AY23" s="88">
        <f aca="true" t="shared" si="24" ref="AY23:AZ25">AV23+AS23+AP23</f>
        <v>0</v>
      </c>
      <c r="AZ23" s="88">
        <f t="shared" si="24"/>
        <v>0</v>
      </c>
      <c r="BA23" s="204" t="e">
        <f t="shared" si="12"/>
        <v>#DIV/0!</v>
      </c>
      <c r="BB23" s="88"/>
      <c r="BC23" s="88"/>
      <c r="BD23" s="143" t="e">
        <f t="shared" si="14"/>
        <v>#DIV/0!</v>
      </c>
      <c r="BE23" s="88"/>
      <c r="BF23" s="88"/>
      <c r="BG23" s="143" t="e">
        <f t="shared" si="15"/>
        <v>#DIV/0!</v>
      </c>
      <c r="BH23" s="88"/>
      <c r="BI23" s="97"/>
      <c r="BJ23" s="99" t="e">
        <f t="shared" si="16"/>
        <v>#DIV/0!</v>
      </c>
      <c r="BK23" s="200">
        <f aca="true" t="shared" si="25" ref="BK23:BL25">BH23+BE23+BB23</f>
        <v>0</v>
      </c>
      <c r="BL23" s="200">
        <f t="shared" si="25"/>
        <v>0</v>
      </c>
      <c r="BM23" s="204" t="e">
        <f t="shared" si="17"/>
        <v>#DIV/0!</v>
      </c>
      <c r="BN23" s="97">
        <f aca="true" t="shared" si="26" ref="BN23:BN29">I23+L23+O23+AE23+AH23+AK23+AQ23+AT23+AW23+BC23+BF23+BI23</f>
        <v>125480</v>
      </c>
      <c r="BO23" s="134">
        <f t="shared" si="18"/>
        <v>0.2050326797385621</v>
      </c>
      <c r="BP23" s="197">
        <f t="shared" si="1"/>
        <v>337960.01999999996</v>
      </c>
      <c r="BQ23" s="78"/>
      <c r="BR23" s="78"/>
    </row>
    <row r="24" spans="1:70" ht="13.5" thickBot="1">
      <c r="A24" s="83">
        <v>2</v>
      </c>
      <c r="B24" s="84">
        <v>1</v>
      </c>
      <c r="C24" s="84">
        <v>1</v>
      </c>
      <c r="D24" s="84">
        <v>2</v>
      </c>
      <c r="E24" s="85" t="s">
        <v>150</v>
      </c>
      <c r="F24" s="153" t="s">
        <v>10</v>
      </c>
      <c r="G24" s="88">
        <v>50000</v>
      </c>
      <c r="H24" s="88"/>
      <c r="I24" s="97"/>
      <c r="J24" s="137" t="e">
        <f t="shared" si="2"/>
        <v>#DIV/0!</v>
      </c>
      <c r="K24" s="148"/>
      <c r="L24" s="88"/>
      <c r="M24" s="140" t="e">
        <f t="shared" si="4"/>
        <v>#DIV/0!</v>
      </c>
      <c r="N24" s="88"/>
      <c r="O24" s="88"/>
      <c r="P24" s="140" t="e">
        <f t="shared" si="21"/>
        <v>#DIV/0!</v>
      </c>
      <c r="Q24" s="200">
        <f aca="true" t="shared" si="27" ref="Q24:Q29">N24+K24+H24</f>
        <v>0</v>
      </c>
      <c r="R24" s="200"/>
      <c r="S24" s="200"/>
      <c r="T24" s="200"/>
      <c r="U24" s="200"/>
      <c r="V24" s="200"/>
      <c r="W24" s="421"/>
      <c r="X24" s="425"/>
      <c r="Y24" s="235"/>
      <c r="Z24" s="235"/>
      <c r="AA24" s="425"/>
      <c r="AB24" s="238">
        <f>+I24+L24+O24+S24+T24+U24+V24+W24+X24+Y24+Z24+AA24</f>
        <v>0</v>
      </c>
      <c r="AC24" s="443" t="e">
        <f>AB24/Q24</f>
        <v>#DIV/0!</v>
      </c>
      <c r="AD24" s="88"/>
      <c r="AE24" s="97"/>
      <c r="AF24" s="140" t="e">
        <f t="shared" si="5"/>
        <v>#DIV/0!</v>
      </c>
      <c r="AG24" s="88"/>
      <c r="AH24" s="97"/>
      <c r="AI24" s="140" t="e">
        <f t="shared" si="6"/>
        <v>#DIV/0!</v>
      </c>
      <c r="AJ24" s="88"/>
      <c r="AK24" s="97"/>
      <c r="AL24" s="140" t="e">
        <f t="shared" si="7"/>
        <v>#DIV/0!</v>
      </c>
      <c r="AM24" s="200">
        <f aca="true" t="shared" si="28" ref="AM24:AM29">AJ24+AG24+AD24</f>
        <v>0</v>
      </c>
      <c r="AN24" s="200">
        <f aca="true" t="shared" si="29" ref="AN24:AN29">AK24+AH24+AE24</f>
        <v>0</v>
      </c>
      <c r="AO24" s="204" t="e">
        <f t="shared" si="8"/>
        <v>#DIV/0!</v>
      </c>
      <c r="AP24" s="88"/>
      <c r="AQ24" s="97"/>
      <c r="AR24" s="141" t="e">
        <f t="shared" si="9"/>
        <v>#DIV/0!</v>
      </c>
      <c r="AS24" s="88"/>
      <c r="AT24" s="97"/>
      <c r="AU24" s="142" t="e">
        <f t="shared" si="10"/>
        <v>#DIV/0!</v>
      </c>
      <c r="AV24" s="86"/>
      <c r="AW24" s="86"/>
      <c r="AX24" s="143" t="e">
        <f t="shared" si="11"/>
        <v>#DIV/0!</v>
      </c>
      <c r="AY24" s="88">
        <f t="shared" si="24"/>
        <v>0</v>
      </c>
      <c r="AZ24" s="88">
        <f t="shared" si="24"/>
        <v>0</v>
      </c>
      <c r="BA24" s="204" t="e">
        <f t="shared" si="12"/>
        <v>#DIV/0!</v>
      </c>
      <c r="BB24" s="88"/>
      <c r="BC24" s="88"/>
      <c r="BD24" s="143" t="e">
        <f t="shared" si="14"/>
        <v>#DIV/0!</v>
      </c>
      <c r="BE24" s="88"/>
      <c r="BF24" s="88"/>
      <c r="BG24" s="143" t="e">
        <f t="shared" si="15"/>
        <v>#DIV/0!</v>
      </c>
      <c r="BH24" s="88"/>
      <c r="BI24" s="97"/>
      <c r="BJ24" s="99" t="e">
        <f t="shared" si="16"/>
        <v>#DIV/0!</v>
      </c>
      <c r="BK24" s="200">
        <f t="shared" si="25"/>
        <v>0</v>
      </c>
      <c r="BL24" s="200">
        <f t="shared" si="25"/>
        <v>0</v>
      </c>
      <c r="BM24" s="204" t="e">
        <f t="shared" si="17"/>
        <v>#DIV/0!</v>
      </c>
      <c r="BN24" s="97">
        <f t="shared" si="26"/>
        <v>0</v>
      </c>
      <c r="BO24" s="134">
        <f t="shared" si="18"/>
        <v>0</v>
      </c>
      <c r="BP24" s="197">
        <f>+G24-AB24</f>
        <v>50000</v>
      </c>
      <c r="BQ24" s="78"/>
      <c r="BR24" s="78"/>
    </row>
    <row r="25" spans="1:70" ht="13.5" thickBot="1">
      <c r="A25" s="83">
        <v>2</v>
      </c>
      <c r="B25" s="84">
        <v>1</v>
      </c>
      <c r="C25" s="84">
        <v>1</v>
      </c>
      <c r="D25" s="84">
        <v>2</v>
      </c>
      <c r="E25" s="85" t="s">
        <v>151</v>
      </c>
      <c r="F25" s="153" t="s">
        <v>20</v>
      </c>
      <c r="G25" s="88">
        <f>102500+52500</f>
        <v>155000</v>
      </c>
      <c r="H25" s="88"/>
      <c r="I25" s="97">
        <v>25600</v>
      </c>
      <c r="J25" s="137" t="e">
        <f t="shared" si="2"/>
        <v>#DIV/0!</v>
      </c>
      <c r="K25" s="148"/>
      <c r="L25" s="88">
        <v>25600</v>
      </c>
      <c r="M25" s="140" t="e">
        <f t="shared" si="4"/>
        <v>#DIV/0!</v>
      </c>
      <c r="N25" s="88"/>
      <c r="O25" s="88">
        <v>25600</v>
      </c>
      <c r="P25" s="140" t="e">
        <f t="shared" si="21"/>
        <v>#DIV/0!</v>
      </c>
      <c r="Q25" s="200">
        <f>N25+K25+H25</f>
        <v>0</v>
      </c>
      <c r="R25" s="200"/>
      <c r="S25" s="200">
        <v>25600</v>
      </c>
      <c r="T25" s="200"/>
      <c r="U25" s="200"/>
      <c r="V25" s="200"/>
      <c r="W25" s="421"/>
      <c r="X25" s="425"/>
      <c r="Y25" s="235"/>
      <c r="Z25" s="235">
        <v>0</v>
      </c>
      <c r="AA25" s="425">
        <v>0</v>
      </c>
      <c r="AB25" s="238">
        <f>+I25+L25+O25+S25+T25+U25+V25+W25+X25+Y25+Z25+AA25</f>
        <v>102400</v>
      </c>
      <c r="AC25" s="443" t="e">
        <f t="shared" si="23"/>
        <v>#DIV/0!</v>
      </c>
      <c r="AD25" s="88"/>
      <c r="AE25" s="97"/>
      <c r="AF25" s="140" t="e">
        <f t="shared" si="5"/>
        <v>#DIV/0!</v>
      </c>
      <c r="AG25" s="88"/>
      <c r="AH25" s="97"/>
      <c r="AI25" s="140" t="e">
        <f t="shared" si="6"/>
        <v>#DIV/0!</v>
      </c>
      <c r="AJ25" s="88"/>
      <c r="AK25" s="97"/>
      <c r="AL25" s="140" t="e">
        <f t="shared" si="7"/>
        <v>#DIV/0!</v>
      </c>
      <c r="AM25" s="200">
        <f t="shared" si="28"/>
        <v>0</v>
      </c>
      <c r="AN25" s="200">
        <f t="shared" si="29"/>
        <v>0</v>
      </c>
      <c r="AO25" s="204" t="e">
        <f t="shared" si="8"/>
        <v>#DIV/0!</v>
      </c>
      <c r="AP25" s="88"/>
      <c r="AQ25" s="97"/>
      <c r="AR25" s="141" t="e">
        <f t="shared" si="9"/>
        <v>#DIV/0!</v>
      </c>
      <c r="AS25" s="88"/>
      <c r="AT25" s="97"/>
      <c r="AU25" s="142" t="e">
        <f t="shared" si="10"/>
        <v>#DIV/0!</v>
      </c>
      <c r="AV25" s="86"/>
      <c r="AW25" s="86"/>
      <c r="AX25" s="143" t="e">
        <f t="shared" si="11"/>
        <v>#DIV/0!</v>
      </c>
      <c r="AY25" s="88">
        <f t="shared" si="24"/>
        <v>0</v>
      </c>
      <c r="AZ25" s="88">
        <f t="shared" si="24"/>
        <v>0</v>
      </c>
      <c r="BA25" s="204" t="e">
        <f t="shared" si="12"/>
        <v>#DIV/0!</v>
      </c>
      <c r="BB25" s="88"/>
      <c r="BC25" s="88"/>
      <c r="BD25" s="143" t="e">
        <f t="shared" si="14"/>
        <v>#DIV/0!</v>
      </c>
      <c r="BE25" s="88"/>
      <c r="BF25" s="88"/>
      <c r="BG25" s="143" t="e">
        <f t="shared" si="15"/>
        <v>#DIV/0!</v>
      </c>
      <c r="BH25" s="88"/>
      <c r="BI25" s="97"/>
      <c r="BJ25" s="99" t="e">
        <f t="shared" si="16"/>
        <v>#DIV/0!</v>
      </c>
      <c r="BK25" s="200">
        <f t="shared" si="25"/>
        <v>0</v>
      </c>
      <c r="BL25" s="200">
        <f t="shared" si="25"/>
        <v>0</v>
      </c>
      <c r="BM25" s="204" t="e">
        <f t="shared" si="17"/>
        <v>#DIV/0!</v>
      </c>
      <c r="BN25" s="97">
        <f t="shared" si="26"/>
        <v>76800</v>
      </c>
      <c r="BO25" s="134">
        <f t="shared" si="18"/>
        <v>0.49548387096774194</v>
      </c>
      <c r="BP25" s="197">
        <f t="shared" si="1"/>
        <v>52600</v>
      </c>
      <c r="BQ25" s="78"/>
      <c r="BR25" s="78"/>
    </row>
    <row r="26" spans="1:70" ht="13.5" thickBot="1">
      <c r="A26" s="83">
        <v>2</v>
      </c>
      <c r="B26" s="84">
        <v>1</v>
      </c>
      <c r="C26" s="84">
        <v>1</v>
      </c>
      <c r="D26" s="84">
        <v>2</v>
      </c>
      <c r="E26" s="85" t="s">
        <v>152</v>
      </c>
      <c r="F26" s="90" t="s">
        <v>19</v>
      </c>
      <c r="G26" s="88">
        <v>0</v>
      </c>
      <c r="H26" s="88"/>
      <c r="I26" s="97"/>
      <c r="J26" s="137" t="e">
        <f t="shared" si="2"/>
        <v>#DIV/0!</v>
      </c>
      <c r="K26" s="148"/>
      <c r="L26" s="88"/>
      <c r="M26" s="140" t="e">
        <f t="shared" si="4"/>
        <v>#DIV/0!</v>
      </c>
      <c r="N26" s="88"/>
      <c r="O26" s="88"/>
      <c r="P26" s="140" t="e">
        <f t="shared" si="21"/>
        <v>#DIV/0!</v>
      </c>
      <c r="Q26" s="200">
        <f t="shared" si="27"/>
        <v>0</v>
      </c>
      <c r="R26" s="200"/>
      <c r="S26" s="200"/>
      <c r="T26" s="200"/>
      <c r="U26" s="200"/>
      <c r="V26" s="200"/>
      <c r="W26" s="421"/>
      <c r="X26" s="425"/>
      <c r="Y26" s="235"/>
      <c r="Z26" s="235">
        <v>0</v>
      </c>
      <c r="AA26" s="425"/>
      <c r="AB26" s="238">
        <f>+I26+L26+O26+S26+T26+U26+V26+W26+X26+Y26+Z26+AA26</f>
        <v>0</v>
      </c>
      <c r="AC26" s="443" t="e">
        <f t="shared" si="23"/>
        <v>#DIV/0!</v>
      </c>
      <c r="AD26" s="88"/>
      <c r="AE26" s="97"/>
      <c r="AF26" s="140" t="e">
        <f t="shared" si="5"/>
        <v>#DIV/0!</v>
      </c>
      <c r="AG26" s="88"/>
      <c r="AH26" s="97"/>
      <c r="AI26" s="140" t="e">
        <f t="shared" si="6"/>
        <v>#DIV/0!</v>
      </c>
      <c r="AJ26" s="88"/>
      <c r="AK26" s="97"/>
      <c r="AL26" s="140" t="e">
        <f t="shared" si="7"/>
        <v>#DIV/0!</v>
      </c>
      <c r="AM26" s="200">
        <f t="shared" si="28"/>
        <v>0</v>
      </c>
      <c r="AN26" s="200">
        <f t="shared" si="29"/>
        <v>0</v>
      </c>
      <c r="AO26" s="204" t="e">
        <f t="shared" si="8"/>
        <v>#DIV/0!</v>
      </c>
      <c r="AP26" s="88"/>
      <c r="AQ26" s="97"/>
      <c r="AR26" s="141" t="e">
        <f t="shared" si="9"/>
        <v>#DIV/0!</v>
      </c>
      <c r="AS26" s="88"/>
      <c r="AT26" s="97"/>
      <c r="AU26" s="142" t="e">
        <f t="shared" si="10"/>
        <v>#DIV/0!</v>
      </c>
      <c r="AV26" s="86"/>
      <c r="AW26" s="86"/>
      <c r="AX26" s="143" t="e">
        <f t="shared" si="11"/>
        <v>#DIV/0!</v>
      </c>
      <c r="AY26" s="88">
        <f aca="true" t="shared" si="30" ref="AY26:AZ29">AV26+AS26+AP26</f>
        <v>0</v>
      </c>
      <c r="AZ26" s="88">
        <f t="shared" si="30"/>
        <v>0</v>
      </c>
      <c r="BA26" s="204" t="e">
        <f t="shared" si="12"/>
        <v>#DIV/0!</v>
      </c>
      <c r="BB26" s="88"/>
      <c r="BC26" s="88"/>
      <c r="BD26" s="143" t="e">
        <f t="shared" si="14"/>
        <v>#DIV/0!</v>
      </c>
      <c r="BE26" s="88"/>
      <c r="BF26" s="88"/>
      <c r="BG26" s="143" t="e">
        <f t="shared" si="15"/>
        <v>#DIV/0!</v>
      </c>
      <c r="BH26" s="88"/>
      <c r="BI26" s="97"/>
      <c r="BJ26" s="99" t="e">
        <f t="shared" si="16"/>
        <v>#DIV/0!</v>
      </c>
      <c r="BK26" s="200">
        <f aca="true" t="shared" si="31" ref="BK26:BL29">BH26+BE26+BB26</f>
        <v>0</v>
      </c>
      <c r="BL26" s="200">
        <f t="shared" si="31"/>
        <v>0</v>
      </c>
      <c r="BM26" s="204" t="e">
        <f t="shared" si="17"/>
        <v>#DIV/0!</v>
      </c>
      <c r="BN26" s="97">
        <f t="shared" si="26"/>
        <v>0</v>
      </c>
      <c r="BO26" s="134" t="e">
        <f t="shared" si="18"/>
        <v>#DIV/0!</v>
      </c>
      <c r="BP26" s="197">
        <f t="shared" si="1"/>
        <v>0</v>
      </c>
      <c r="BQ26" s="78"/>
      <c r="BR26" s="78"/>
    </row>
    <row r="27" spans="1:70" ht="23.25" thickBot="1">
      <c r="A27" s="83">
        <v>2</v>
      </c>
      <c r="B27" s="84">
        <v>1</v>
      </c>
      <c r="C27" s="84">
        <v>1</v>
      </c>
      <c r="D27" s="84">
        <v>2</v>
      </c>
      <c r="E27" s="85" t="s">
        <v>153</v>
      </c>
      <c r="F27" s="90" t="s">
        <v>22</v>
      </c>
      <c r="G27" s="88">
        <f>500000+500000+1195000</f>
        <v>2195000</v>
      </c>
      <c r="H27" s="88"/>
      <c r="I27" s="97">
        <v>0</v>
      </c>
      <c r="J27" s="137" t="e">
        <f t="shared" si="2"/>
        <v>#DIV/0!</v>
      </c>
      <c r="K27" s="148"/>
      <c r="L27" s="88">
        <v>0</v>
      </c>
      <c r="M27" s="140" t="e">
        <f t="shared" si="4"/>
        <v>#DIV/0!</v>
      </c>
      <c r="N27" s="88"/>
      <c r="O27" s="88">
        <f>102026.16+102026.16</f>
        <v>204052.32</v>
      </c>
      <c r="P27" s="140" t="e">
        <f t="shared" si="21"/>
        <v>#DIV/0!</v>
      </c>
      <c r="Q27" s="200">
        <f t="shared" si="27"/>
        <v>0</v>
      </c>
      <c r="R27" s="200"/>
      <c r="S27" s="200">
        <v>102026.16</v>
      </c>
      <c r="T27" s="200">
        <v>102026.16</v>
      </c>
      <c r="U27" s="200">
        <v>131951.16</v>
      </c>
      <c r="V27" s="200">
        <f>131951.16+26000</f>
        <v>157951.16</v>
      </c>
      <c r="W27" s="421">
        <v>157951.16</v>
      </c>
      <c r="X27" s="425">
        <v>157951.16</v>
      </c>
      <c r="Y27" s="235">
        <v>0</v>
      </c>
      <c r="Z27" s="235">
        <v>0</v>
      </c>
      <c r="AA27" s="425"/>
      <c r="AB27" s="238">
        <f>+I27+L27+O27+S27+T27+U27+V27+W27+X27+Y27+Z27+AA27</f>
        <v>1013909.2800000001</v>
      </c>
      <c r="AC27" s="443" t="e">
        <f t="shared" si="23"/>
        <v>#DIV/0!</v>
      </c>
      <c r="AD27" s="88"/>
      <c r="AE27" s="97"/>
      <c r="AF27" s="140" t="e">
        <f t="shared" si="5"/>
        <v>#DIV/0!</v>
      </c>
      <c r="AG27" s="88"/>
      <c r="AH27" s="97"/>
      <c r="AI27" s="140" t="e">
        <f t="shared" si="6"/>
        <v>#DIV/0!</v>
      </c>
      <c r="AJ27" s="88"/>
      <c r="AK27" s="97"/>
      <c r="AL27" s="140" t="e">
        <f t="shared" si="7"/>
        <v>#DIV/0!</v>
      </c>
      <c r="AM27" s="200">
        <f t="shared" si="28"/>
        <v>0</v>
      </c>
      <c r="AN27" s="200">
        <f t="shared" si="29"/>
        <v>0</v>
      </c>
      <c r="AO27" s="204" t="e">
        <f t="shared" si="8"/>
        <v>#DIV/0!</v>
      </c>
      <c r="AP27" s="88"/>
      <c r="AQ27" s="97"/>
      <c r="AR27" s="141" t="e">
        <f t="shared" si="9"/>
        <v>#DIV/0!</v>
      </c>
      <c r="AS27" s="88"/>
      <c r="AT27" s="97"/>
      <c r="AU27" s="142" t="e">
        <f t="shared" si="10"/>
        <v>#DIV/0!</v>
      </c>
      <c r="AV27" s="86"/>
      <c r="AW27" s="86"/>
      <c r="AX27" s="143" t="e">
        <f t="shared" si="11"/>
        <v>#DIV/0!</v>
      </c>
      <c r="AY27" s="88">
        <f t="shared" si="30"/>
        <v>0</v>
      </c>
      <c r="AZ27" s="88">
        <f t="shared" si="30"/>
        <v>0</v>
      </c>
      <c r="BA27" s="204" t="e">
        <f t="shared" si="12"/>
        <v>#DIV/0!</v>
      </c>
      <c r="BB27" s="88"/>
      <c r="BC27" s="88"/>
      <c r="BD27" s="143" t="e">
        <f t="shared" si="14"/>
        <v>#DIV/0!</v>
      </c>
      <c r="BE27" s="88"/>
      <c r="BF27" s="88"/>
      <c r="BG27" s="100" t="e">
        <f t="shared" si="15"/>
        <v>#DIV/0!</v>
      </c>
      <c r="BH27" s="88"/>
      <c r="BI27" s="97"/>
      <c r="BJ27" s="99" t="e">
        <f t="shared" si="16"/>
        <v>#DIV/0!</v>
      </c>
      <c r="BK27" s="200">
        <f t="shared" si="31"/>
        <v>0</v>
      </c>
      <c r="BL27" s="200">
        <f t="shared" si="31"/>
        <v>0</v>
      </c>
      <c r="BM27" s="204" t="e">
        <f t="shared" si="17"/>
        <v>#DIV/0!</v>
      </c>
      <c r="BN27" s="97">
        <f t="shared" si="26"/>
        <v>204052.32</v>
      </c>
      <c r="BO27" s="134">
        <f t="shared" si="18"/>
        <v>0.0929623325740319</v>
      </c>
      <c r="BP27" s="197">
        <f t="shared" si="1"/>
        <v>1181090.7199999997</v>
      </c>
      <c r="BQ27" s="78"/>
      <c r="BR27" s="78"/>
    </row>
    <row r="28" spans="1:68" ht="22.5" thickBot="1">
      <c r="A28" s="102">
        <v>2</v>
      </c>
      <c r="B28" s="103">
        <v>1</v>
      </c>
      <c r="C28" s="103">
        <v>1</v>
      </c>
      <c r="D28" s="103">
        <v>3</v>
      </c>
      <c r="E28" s="202"/>
      <c r="F28" s="155" t="s">
        <v>23</v>
      </c>
      <c r="G28" s="82">
        <v>948000</v>
      </c>
      <c r="H28" s="82"/>
      <c r="I28" s="82"/>
      <c r="J28" s="138" t="e">
        <f t="shared" si="2"/>
        <v>#DIV/0!</v>
      </c>
      <c r="K28" s="82"/>
      <c r="L28" s="82"/>
      <c r="M28" s="89" t="e">
        <f t="shared" si="4"/>
        <v>#DIV/0!</v>
      </c>
      <c r="N28" s="82"/>
      <c r="O28" s="82"/>
      <c r="P28" s="89" t="e">
        <f t="shared" si="21"/>
        <v>#DIV/0!</v>
      </c>
      <c r="Q28" s="200">
        <f t="shared" si="27"/>
        <v>0</v>
      </c>
      <c r="R28" s="200"/>
      <c r="S28" s="200"/>
      <c r="T28" s="200"/>
      <c r="U28" s="200"/>
      <c r="V28" s="200"/>
      <c r="W28" s="421"/>
      <c r="X28" s="425"/>
      <c r="Y28" s="235"/>
      <c r="Z28" s="235"/>
      <c r="AA28" s="425"/>
      <c r="AB28" s="232">
        <f>I28+L28+O28+S28+T28+U28+V28+W28+X28+Y28+Z28+AA28</f>
        <v>0</v>
      </c>
      <c r="AC28" s="443" t="e">
        <f t="shared" si="23"/>
        <v>#DIV/0!</v>
      </c>
      <c r="AD28" s="82"/>
      <c r="AE28" s="82"/>
      <c r="AF28" s="89" t="e">
        <f t="shared" si="5"/>
        <v>#DIV/0!</v>
      </c>
      <c r="AG28" s="82"/>
      <c r="AH28" s="82"/>
      <c r="AI28" s="89" t="e">
        <f t="shared" si="6"/>
        <v>#DIV/0!</v>
      </c>
      <c r="AJ28" s="82"/>
      <c r="AK28" s="82"/>
      <c r="AL28" s="89" t="e">
        <f t="shared" si="7"/>
        <v>#DIV/0!</v>
      </c>
      <c r="AM28" s="200">
        <f t="shared" si="28"/>
        <v>0</v>
      </c>
      <c r="AN28" s="200">
        <f t="shared" si="29"/>
        <v>0</v>
      </c>
      <c r="AO28" s="204" t="e">
        <f t="shared" si="8"/>
        <v>#DIV/0!</v>
      </c>
      <c r="AP28" s="82"/>
      <c r="AQ28" s="82"/>
      <c r="AR28" s="98" t="e">
        <f t="shared" si="9"/>
        <v>#DIV/0!</v>
      </c>
      <c r="AS28" s="82"/>
      <c r="AT28" s="82"/>
      <c r="AU28" s="99" t="e">
        <f t="shared" si="10"/>
        <v>#DIV/0!</v>
      </c>
      <c r="AV28" s="82"/>
      <c r="AW28" s="82"/>
      <c r="AX28" s="100" t="e">
        <f t="shared" si="11"/>
        <v>#DIV/0!</v>
      </c>
      <c r="AY28" s="88">
        <f t="shared" si="30"/>
        <v>0</v>
      </c>
      <c r="AZ28" s="88">
        <f t="shared" si="30"/>
        <v>0</v>
      </c>
      <c r="BA28" s="204" t="e">
        <f t="shared" si="12"/>
        <v>#DIV/0!</v>
      </c>
      <c r="BB28" s="82"/>
      <c r="BC28" s="82"/>
      <c r="BD28" s="100" t="e">
        <f t="shared" si="14"/>
        <v>#DIV/0!</v>
      </c>
      <c r="BE28" s="82"/>
      <c r="BF28" s="82"/>
      <c r="BG28" s="100" t="e">
        <f t="shared" si="15"/>
        <v>#DIV/0!</v>
      </c>
      <c r="BH28" s="82"/>
      <c r="BI28" s="82"/>
      <c r="BJ28" s="99" t="e">
        <f t="shared" si="16"/>
        <v>#DIV/0!</v>
      </c>
      <c r="BK28" s="200">
        <f t="shared" si="31"/>
        <v>0</v>
      </c>
      <c r="BL28" s="200">
        <f t="shared" si="31"/>
        <v>0</v>
      </c>
      <c r="BM28" s="204" t="e">
        <f t="shared" si="17"/>
        <v>#DIV/0!</v>
      </c>
      <c r="BN28" s="97">
        <f t="shared" si="26"/>
        <v>0</v>
      </c>
      <c r="BO28" s="134">
        <f t="shared" si="18"/>
        <v>0</v>
      </c>
      <c r="BP28" s="197">
        <f t="shared" si="1"/>
        <v>948000</v>
      </c>
    </row>
    <row r="29" spans="1:68" ht="13.5" thickBot="1">
      <c r="A29" s="102">
        <v>2</v>
      </c>
      <c r="B29" s="103">
        <v>1</v>
      </c>
      <c r="C29" s="103">
        <v>1</v>
      </c>
      <c r="D29" s="103">
        <v>4</v>
      </c>
      <c r="E29" s="202"/>
      <c r="F29" s="155" t="s">
        <v>72</v>
      </c>
      <c r="G29" s="82">
        <v>2094279</v>
      </c>
      <c r="H29" s="82"/>
      <c r="I29" s="82">
        <v>0</v>
      </c>
      <c r="J29" s="138" t="e">
        <f t="shared" si="2"/>
        <v>#DIV/0!</v>
      </c>
      <c r="K29" s="82"/>
      <c r="L29" s="82">
        <v>0</v>
      </c>
      <c r="M29" s="89" t="e">
        <f t="shared" si="4"/>
        <v>#DIV/0!</v>
      </c>
      <c r="N29" s="82"/>
      <c r="O29" s="82">
        <v>0</v>
      </c>
      <c r="P29" s="89" t="e">
        <f t="shared" si="21"/>
        <v>#DIV/0!</v>
      </c>
      <c r="Q29" s="200">
        <f t="shared" si="27"/>
        <v>0</v>
      </c>
      <c r="R29" s="200"/>
      <c r="S29" s="200">
        <v>0</v>
      </c>
      <c r="T29" s="200">
        <v>0</v>
      </c>
      <c r="U29" s="200">
        <v>0</v>
      </c>
      <c r="V29" s="200">
        <v>0</v>
      </c>
      <c r="W29" s="421">
        <v>0</v>
      </c>
      <c r="X29" s="425">
        <v>0</v>
      </c>
      <c r="Y29" s="235">
        <v>0</v>
      </c>
      <c r="Z29" s="239">
        <v>0</v>
      </c>
      <c r="AA29" s="427">
        <v>0</v>
      </c>
      <c r="AB29" s="232">
        <f>I29+L29+O29+S29+T29+U29+V29+W29+X29+Y29+Z29+AA29</f>
        <v>0</v>
      </c>
      <c r="AC29" s="443" t="e">
        <f t="shared" si="23"/>
        <v>#DIV/0!</v>
      </c>
      <c r="AD29" s="82"/>
      <c r="AE29" s="82"/>
      <c r="AF29" s="89" t="e">
        <f t="shared" si="5"/>
        <v>#DIV/0!</v>
      </c>
      <c r="AG29" s="82"/>
      <c r="AH29" s="82"/>
      <c r="AI29" s="89" t="e">
        <f t="shared" si="6"/>
        <v>#DIV/0!</v>
      </c>
      <c r="AJ29" s="82"/>
      <c r="AK29" s="82"/>
      <c r="AL29" s="89" t="e">
        <f t="shared" si="7"/>
        <v>#DIV/0!</v>
      </c>
      <c r="AM29" s="200">
        <f t="shared" si="28"/>
        <v>0</v>
      </c>
      <c r="AN29" s="200">
        <f t="shared" si="29"/>
        <v>0</v>
      </c>
      <c r="AO29" s="204" t="e">
        <f t="shared" si="8"/>
        <v>#DIV/0!</v>
      </c>
      <c r="AP29" s="82"/>
      <c r="AQ29" s="82"/>
      <c r="AR29" s="98" t="e">
        <f t="shared" si="9"/>
        <v>#DIV/0!</v>
      </c>
      <c r="AS29" s="82"/>
      <c r="AT29" s="82"/>
      <c r="AU29" s="99" t="e">
        <f t="shared" si="10"/>
        <v>#DIV/0!</v>
      </c>
      <c r="AV29" s="82"/>
      <c r="AW29" s="82"/>
      <c r="AX29" s="100" t="e">
        <f t="shared" si="11"/>
        <v>#DIV/0!</v>
      </c>
      <c r="AY29" s="88">
        <f t="shared" si="30"/>
        <v>0</v>
      </c>
      <c r="AZ29" s="88">
        <f t="shared" si="30"/>
        <v>0</v>
      </c>
      <c r="BA29" s="204" t="e">
        <f t="shared" si="12"/>
        <v>#DIV/0!</v>
      </c>
      <c r="BB29" s="82"/>
      <c r="BC29" s="82"/>
      <c r="BD29" s="100" t="e">
        <f t="shared" si="14"/>
        <v>#DIV/0!</v>
      </c>
      <c r="BE29" s="82"/>
      <c r="BF29" s="82"/>
      <c r="BG29" s="100" t="e">
        <f t="shared" si="15"/>
        <v>#DIV/0!</v>
      </c>
      <c r="BH29" s="82"/>
      <c r="BI29" s="82"/>
      <c r="BJ29" s="99" t="e">
        <f t="shared" si="16"/>
        <v>#DIV/0!</v>
      </c>
      <c r="BK29" s="200">
        <f t="shared" si="31"/>
        <v>0</v>
      </c>
      <c r="BL29" s="200">
        <f t="shared" si="31"/>
        <v>0</v>
      </c>
      <c r="BM29" s="204" t="e">
        <f t="shared" si="17"/>
        <v>#DIV/0!</v>
      </c>
      <c r="BN29" s="97">
        <f t="shared" si="26"/>
        <v>0</v>
      </c>
      <c r="BO29" s="134">
        <f>BN29/G29</f>
        <v>0</v>
      </c>
      <c r="BP29" s="197">
        <f t="shared" si="1"/>
        <v>2094279</v>
      </c>
    </row>
    <row r="30" spans="1:68" s="78" customFormat="1" ht="13.5" thickBot="1">
      <c r="A30" s="102">
        <v>2</v>
      </c>
      <c r="B30" s="103">
        <v>1</v>
      </c>
      <c r="C30" s="103">
        <v>1</v>
      </c>
      <c r="D30" s="103">
        <v>5</v>
      </c>
      <c r="E30" s="202"/>
      <c r="F30" s="155" t="s">
        <v>237</v>
      </c>
      <c r="G30" s="82">
        <f>+G31</f>
        <v>50000</v>
      </c>
      <c r="H30" s="82">
        <f aca="true" t="shared" si="32" ref="H30:T30">+H31</f>
        <v>0</v>
      </c>
      <c r="I30" s="82">
        <f t="shared" si="32"/>
        <v>0</v>
      </c>
      <c r="J30" s="82">
        <f t="shared" si="32"/>
        <v>0</v>
      </c>
      <c r="K30" s="82">
        <f t="shared" si="32"/>
        <v>0</v>
      </c>
      <c r="L30" s="82">
        <f t="shared" si="32"/>
        <v>0</v>
      </c>
      <c r="M30" s="82">
        <f t="shared" si="32"/>
        <v>0</v>
      </c>
      <c r="N30" s="82">
        <f t="shared" si="32"/>
        <v>0</v>
      </c>
      <c r="O30" s="82">
        <f t="shared" si="32"/>
        <v>0</v>
      </c>
      <c r="P30" s="82">
        <f t="shared" si="32"/>
        <v>0</v>
      </c>
      <c r="Q30" s="82">
        <f t="shared" si="32"/>
        <v>0</v>
      </c>
      <c r="R30" s="82">
        <f t="shared" si="32"/>
        <v>0</v>
      </c>
      <c r="S30" s="82">
        <f t="shared" si="32"/>
        <v>0</v>
      </c>
      <c r="T30" s="82">
        <f t="shared" si="32"/>
        <v>0</v>
      </c>
      <c r="U30" s="82">
        <f aca="true" t="shared" si="33" ref="U30:AB30">+U31</f>
        <v>0</v>
      </c>
      <c r="V30" s="82">
        <f t="shared" si="33"/>
        <v>0</v>
      </c>
      <c r="W30" s="82">
        <f t="shared" si="33"/>
        <v>0</v>
      </c>
      <c r="X30" s="82">
        <f t="shared" si="33"/>
        <v>0</v>
      </c>
      <c r="Y30" s="82">
        <f t="shared" si="33"/>
        <v>0</v>
      </c>
      <c r="Z30" s="82">
        <f t="shared" si="33"/>
        <v>0</v>
      </c>
      <c r="AA30" s="82" t="s">
        <v>7</v>
      </c>
      <c r="AB30" s="82">
        <f t="shared" si="33"/>
        <v>0</v>
      </c>
      <c r="AC30" s="443"/>
      <c r="AD30" s="82"/>
      <c r="AE30" s="131"/>
      <c r="AF30" s="89"/>
      <c r="AG30" s="82"/>
      <c r="AH30" s="131"/>
      <c r="AI30" s="89"/>
      <c r="AJ30" s="82"/>
      <c r="AK30" s="131"/>
      <c r="AL30" s="89"/>
      <c r="AM30" s="200"/>
      <c r="AN30" s="200"/>
      <c r="AO30" s="204"/>
      <c r="AP30" s="82"/>
      <c r="AQ30" s="131"/>
      <c r="AR30" s="98"/>
      <c r="AS30" s="82"/>
      <c r="AT30" s="131"/>
      <c r="AU30" s="99"/>
      <c r="AV30" s="82"/>
      <c r="AW30" s="82"/>
      <c r="AX30" s="100"/>
      <c r="AY30" s="88"/>
      <c r="AZ30" s="88"/>
      <c r="BA30" s="204"/>
      <c r="BB30" s="82"/>
      <c r="BC30" s="82"/>
      <c r="BD30" s="100"/>
      <c r="BE30" s="82"/>
      <c r="BF30" s="82"/>
      <c r="BG30" s="100"/>
      <c r="BH30" s="82"/>
      <c r="BI30" s="131"/>
      <c r="BJ30" s="99"/>
      <c r="BK30" s="200"/>
      <c r="BL30" s="200"/>
      <c r="BM30" s="204"/>
      <c r="BN30" s="97"/>
      <c r="BO30" s="134"/>
      <c r="BP30" s="197">
        <f>+G30-AB30</f>
        <v>50000</v>
      </c>
    </row>
    <row r="31" spans="1:68" s="78" customFormat="1" ht="13.5" thickBot="1">
      <c r="A31" s="83">
        <v>2</v>
      </c>
      <c r="B31" s="84">
        <v>1</v>
      </c>
      <c r="C31" s="84">
        <v>1</v>
      </c>
      <c r="D31" s="84">
        <v>5</v>
      </c>
      <c r="E31" s="85" t="s">
        <v>238</v>
      </c>
      <c r="F31" s="90" t="s">
        <v>237</v>
      </c>
      <c r="G31" s="88">
        <f>200000-150000</f>
        <v>50000</v>
      </c>
      <c r="H31" s="88"/>
      <c r="I31" s="97"/>
      <c r="J31" s="138"/>
      <c r="K31" s="148"/>
      <c r="L31" s="88"/>
      <c r="M31" s="89"/>
      <c r="N31" s="88"/>
      <c r="O31" s="88"/>
      <c r="P31" s="89"/>
      <c r="Q31" s="200"/>
      <c r="R31" s="200"/>
      <c r="S31" s="200"/>
      <c r="T31" s="200"/>
      <c r="U31" s="200"/>
      <c r="V31" s="200"/>
      <c r="W31" s="421">
        <v>0</v>
      </c>
      <c r="X31" s="425"/>
      <c r="Y31" s="235"/>
      <c r="Z31" s="235"/>
      <c r="AA31" s="425"/>
      <c r="AB31" s="238">
        <f>SUM(I31:AA31)</f>
        <v>0</v>
      </c>
      <c r="AC31" s="443"/>
      <c r="AD31" s="88"/>
      <c r="AE31" s="97"/>
      <c r="AF31" s="89"/>
      <c r="AG31" s="88"/>
      <c r="AH31" s="97"/>
      <c r="AI31" s="89"/>
      <c r="AJ31" s="88"/>
      <c r="AK31" s="97"/>
      <c r="AL31" s="89"/>
      <c r="AM31" s="200"/>
      <c r="AN31" s="200"/>
      <c r="AO31" s="204"/>
      <c r="AP31" s="88"/>
      <c r="AQ31" s="97"/>
      <c r="AR31" s="98"/>
      <c r="AS31" s="88"/>
      <c r="AT31" s="97"/>
      <c r="AU31" s="99"/>
      <c r="AV31" s="86"/>
      <c r="AW31" s="86"/>
      <c r="AX31" s="100"/>
      <c r="AY31" s="88"/>
      <c r="AZ31" s="88"/>
      <c r="BA31" s="204"/>
      <c r="BB31" s="88"/>
      <c r="BC31" s="88"/>
      <c r="BD31" s="100"/>
      <c r="BE31" s="88"/>
      <c r="BF31" s="88"/>
      <c r="BG31" s="100"/>
      <c r="BH31" s="88"/>
      <c r="BI31" s="97"/>
      <c r="BJ31" s="99"/>
      <c r="BK31" s="200"/>
      <c r="BL31" s="200"/>
      <c r="BM31" s="204"/>
      <c r="BN31" s="97"/>
      <c r="BO31" s="134"/>
      <c r="BP31" s="197">
        <f>+G31-AB31</f>
        <v>50000</v>
      </c>
    </row>
    <row r="32" spans="1:68" s="76" customFormat="1" ht="13.5" thickBot="1">
      <c r="A32" s="102">
        <v>2</v>
      </c>
      <c r="B32" s="103">
        <v>1</v>
      </c>
      <c r="C32" s="103">
        <v>2</v>
      </c>
      <c r="D32" s="84"/>
      <c r="E32" s="104"/>
      <c r="F32" s="155" t="s">
        <v>154</v>
      </c>
      <c r="G32" s="82">
        <f>+G33</f>
        <v>2620300</v>
      </c>
      <c r="H32" s="82">
        <f>+H33</f>
        <v>0</v>
      </c>
      <c r="I32" s="131">
        <f>+I33</f>
        <v>293725</v>
      </c>
      <c r="J32" s="138" t="e">
        <f t="shared" si="2"/>
        <v>#DIV/0!</v>
      </c>
      <c r="K32" s="203">
        <f>+K33</f>
        <v>0</v>
      </c>
      <c r="L32" s="82">
        <f>+L33</f>
        <v>293725</v>
      </c>
      <c r="M32" s="89" t="e">
        <f t="shared" si="4"/>
        <v>#DIV/0!</v>
      </c>
      <c r="N32" s="82">
        <f aca="true" t="shared" si="34" ref="N32:Z32">+N33</f>
        <v>0</v>
      </c>
      <c r="O32" s="82">
        <f t="shared" si="34"/>
        <v>293725</v>
      </c>
      <c r="P32" s="82" t="e">
        <f t="shared" si="34"/>
        <v>#DIV/0!</v>
      </c>
      <c r="Q32" s="82">
        <f t="shared" si="34"/>
        <v>0</v>
      </c>
      <c r="R32" s="82">
        <f t="shared" si="34"/>
        <v>0</v>
      </c>
      <c r="S32" s="82">
        <f t="shared" si="34"/>
        <v>442725</v>
      </c>
      <c r="T32" s="82">
        <f t="shared" si="34"/>
        <v>382400</v>
      </c>
      <c r="U32" s="82">
        <f t="shared" si="34"/>
        <v>16250</v>
      </c>
      <c r="V32" s="82">
        <f t="shared" si="34"/>
        <v>16250</v>
      </c>
      <c r="W32" s="82">
        <f>+W33</f>
        <v>16250</v>
      </c>
      <c r="X32" s="131">
        <f t="shared" si="34"/>
        <v>16250</v>
      </c>
      <c r="Y32" s="232">
        <f t="shared" si="34"/>
        <v>0</v>
      </c>
      <c r="Z32" s="232">
        <f t="shared" si="34"/>
        <v>0</v>
      </c>
      <c r="AA32" s="426">
        <f>+AA33</f>
        <v>0</v>
      </c>
      <c r="AB32" s="232">
        <f>AB33</f>
        <v>1771300</v>
      </c>
      <c r="AC32" s="443" t="e">
        <f t="shared" si="23"/>
        <v>#DIV/0!</v>
      </c>
      <c r="AD32" s="82">
        <f>+AD33</f>
        <v>0</v>
      </c>
      <c r="AE32" s="131">
        <f>+AE33</f>
        <v>0</v>
      </c>
      <c r="AF32" s="89" t="e">
        <f t="shared" si="5"/>
        <v>#DIV/0!</v>
      </c>
      <c r="AG32" s="82">
        <f>+AG33</f>
        <v>0</v>
      </c>
      <c r="AH32" s="131">
        <f>+AH33</f>
        <v>0</v>
      </c>
      <c r="AI32" s="89" t="e">
        <f t="shared" si="6"/>
        <v>#DIV/0!</v>
      </c>
      <c r="AJ32" s="82">
        <f>+AJ33</f>
        <v>0</v>
      </c>
      <c r="AK32" s="131">
        <f>+AK33</f>
        <v>0</v>
      </c>
      <c r="AL32" s="89" t="e">
        <f t="shared" si="7"/>
        <v>#DIV/0!</v>
      </c>
      <c r="AM32" s="82">
        <f>+AM33</f>
        <v>0</v>
      </c>
      <c r="AN32" s="82">
        <f>+AN33</f>
        <v>0</v>
      </c>
      <c r="AO32" s="204" t="e">
        <f aca="true" t="shared" si="35" ref="AO32:AO44">AN32/AM32</f>
        <v>#DIV/0!</v>
      </c>
      <c r="AP32" s="82">
        <f>+AP33</f>
        <v>0</v>
      </c>
      <c r="AQ32" s="131">
        <f>+AQ33</f>
        <v>0</v>
      </c>
      <c r="AR32" s="98" t="e">
        <f t="shared" si="9"/>
        <v>#DIV/0!</v>
      </c>
      <c r="AS32" s="82">
        <f>+AS33</f>
        <v>0</v>
      </c>
      <c r="AT32" s="131">
        <f>+AT33</f>
        <v>0</v>
      </c>
      <c r="AU32" s="99" t="e">
        <f t="shared" si="10"/>
        <v>#DIV/0!</v>
      </c>
      <c r="AV32" s="82">
        <f>+AV33</f>
        <v>0</v>
      </c>
      <c r="AW32" s="82">
        <f>+AW33</f>
        <v>0</v>
      </c>
      <c r="AX32" s="100" t="e">
        <f t="shared" si="11"/>
        <v>#DIV/0!</v>
      </c>
      <c r="AY32" s="82">
        <f>+AY33</f>
        <v>0</v>
      </c>
      <c r="AZ32" s="82">
        <f>+AZ33</f>
        <v>0</v>
      </c>
      <c r="BA32" s="204" t="e">
        <f aca="true" t="shared" si="36" ref="BA32:BA44">AZ32/AY32</f>
        <v>#DIV/0!</v>
      </c>
      <c r="BB32" s="82"/>
      <c r="BC32" s="82"/>
      <c r="BD32" s="100" t="e">
        <f t="shared" si="14"/>
        <v>#DIV/0!</v>
      </c>
      <c r="BE32" s="82"/>
      <c r="BF32" s="82"/>
      <c r="BG32" s="100" t="e">
        <f t="shared" si="15"/>
        <v>#DIV/0!</v>
      </c>
      <c r="BH32" s="82">
        <f>+BH33</f>
        <v>0</v>
      </c>
      <c r="BI32" s="131">
        <f>+BI33</f>
        <v>0</v>
      </c>
      <c r="BJ32" s="99" t="e">
        <f t="shared" si="16"/>
        <v>#DIV/0!</v>
      </c>
      <c r="BK32" s="82">
        <f>+BK33</f>
        <v>0</v>
      </c>
      <c r="BL32" s="82">
        <f>+BL33</f>
        <v>0</v>
      </c>
      <c r="BM32" s="204" t="e">
        <f aca="true" t="shared" si="37" ref="BM32:BM44">BL32/BK32</f>
        <v>#DIV/0!</v>
      </c>
      <c r="BN32" s="131">
        <f>+BN33</f>
        <v>881175</v>
      </c>
      <c r="BO32" s="134">
        <f t="shared" si="18"/>
        <v>0.3362878296378277</v>
      </c>
      <c r="BP32" s="197">
        <f t="shared" si="1"/>
        <v>849000</v>
      </c>
    </row>
    <row r="33" spans="1:68" ht="13.5" thickBot="1">
      <c r="A33" s="102">
        <v>2</v>
      </c>
      <c r="B33" s="103">
        <v>1</v>
      </c>
      <c r="C33" s="103">
        <v>2</v>
      </c>
      <c r="D33" s="103">
        <v>2</v>
      </c>
      <c r="E33" s="202"/>
      <c r="F33" s="155" t="s">
        <v>155</v>
      </c>
      <c r="G33" s="82">
        <f>SUM(G34:G39)</f>
        <v>2620300</v>
      </c>
      <c r="H33" s="82">
        <f>H34+H36+H37+H39</f>
        <v>0</v>
      </c>
      <c r="I33" s="131">
        <f>I34+I36+I37+I39</f>
        <v>293725</v>
      </c>
      <c r="J33" s="138" t="e">
        <f t="shared" si="2"/>
        <v>#DIV/0!</v>
      </c>
      <c r="K33" s="203">
        <f>K34+K36+K37+K39</f>
        <v>0</v>
      </c>
      <c r="L33" s="82">
        <f>L34+L36+L37+L39</f>
        <v>293725</v>
      </c>
      <c r="M33" s="89" t="e">
        <f t="shared" si="4"/>
        <v>#DIV/0!</v>
      </c>
      <c r="N33" s="82">
        <f aca="true" t="shared" si="38" ref="N33:Z33">N34+N36+N37+N39</f>
        <v>0</v>
      </c>
      <c r="O33" s="82">
        <f t="shared" si="38"/>
        <v>293725</v>
      </c>
      <c r="P33" s="82" t="e">
        <f t="shared" si="38"/>
        <v>#DIV/0!</v>
      </c>
      <c r="Q33" s="82">
        <f t="shared" si="38"/>
        <v>0</v>
      </c>
      <c r="R33" s="82">
        <f t="shared" si="38"/>
        <v>0</v>
      </c>
      <c r="S33" s="82">
        <f t="shared" si="38"/>
        <v>442725</v>
      </c>
      <c r="T33" s="82">
        <f t="shared" si="38"/>
        <v>382400</v>
      </c>
      <c r="U33" s="82">
        <f t="shared" si="38"/>
        <v>16250</v>
      </c>
      <c r="V33" s="82">
        <f t="shared" si="38"/>
        <v>16250</v>
      </c>
      <c r="W33" s="82">
        <f>W34+W36+W37+W39</f>
        <v>16250</v>
      </c>
      <c r="X33" s="131">
        <f t="shared" si="38"/>
        <v>16250</v>
      </c>
      <c r="Y33" s="232">
        <f t="shared" si="38"/>
        <v>0</v>
      </c>
      <c r="Z33" s="431">
        <f t="shared" si="38"/>
        <v>0</v>
      </c>
      <c r="AA33" s="440">
        <f>AA34+AA35+AA36+AA37+AA39</f>
        <v>0</v>
      </c>
      <c r="AB33" s="232">
        <f>AB34+AB35+AB36+AB37+AB38+AB39</f>
        <v>1771300</v>
      </c>
      <c r="AC33" s="443" t="e">
        <f t="shared" si="23"/>
        <v>#DIV/0!</v>
      </c>
      <c r="AD33" s="82">
        <f>AD34+AD36+AD37+AD39</f>
        <v>0</v>
      </c>
      <c r="AE33" s="131">
        <f>AE34+AE36+AE37+AE39</f>
        <v>0</v>
      </c>
      <c r="AF33" s="89" t="e">
        <f t="shared" si="5"/>
        <v>#DIV/0!</v>
      </c>
      <c r="AG33" s="82">
        <f>AG34+AG36+AG37+AG39</f>
        <v>0</v>
      </c>
      <c r="AH33" s="131">
        <f>AH34+AH36+AH37+AH39</f>
        <v>0</v>
      </c>
      <c r="AI33" s="89" t="e">
        <f t="shared" si="6"/>
        <v>#DIV/0!</v>
      </c>
      <c r="AJ33" s="82">
        <f>AJ34+AJ36+AJ37+AJ39</f>
        <v>0</v>
      </c>
      <c r="AK33" s="131">
        <f>AK34+AK36+AK37+AK39</f>
        <v>0</v>
      </c>
      <c r="AL33" s="89" t="e">
        <f t="shared" si="7"/>
        <v>#DIV/0!</v>
      </c>
      <c r="AM33" s="82">
        <f>AM34+AM36+AM37+AM39</f>
        <v>0</v>
      </c>
      <c r="AN33" s="82">
        <f>AN34+AN36+AN37+AN39</f>
        <v>0</v>
      </c>
      <c r="AO33" s="204" t="e">
        <f t="shared" si="35"/>
        <v>#DIV/0!</v>
      </c>
      <c r="AP33" s="82">
        <f>AP34+AP36+AP37+AP39</f>
        <v>0</v>
      </c>
      <c r="AQ33" s="131">
        <f>AQ34+AQ36+AQ37+AQ39</f>
        <v>0</v>
      </c>
      <c r="AR33" s="98" t="e">
        <f t="shared" si="9"/>
        <v>#DIV/0!</v>
      </c>
      <c r="AS33" s="82">
        <f>AS34+AS36+AS37+AS39</f>
        <v>0</v>
      </c>
      <c r="AT33" s="131">
        <f>AT34+AT36+AT37+AT39</f>
        <v>0</v>
      </c>
      <c r="AU33" s="99" t="e">
        <f t="shared" si="10"/>
        <v>#DIV/0!</v>
      </c>
      <c r="AV33" s="82">
        <f>AV34+AV36+AV37+AV39</f>
        <v>0</v>
      </c>
      <c r="AW33" s="82">
        <f>AW34+AW36+AW37+AW39</f>
        <v>0</v>
      </c>
      <c r="AX33" s="100" t="e">
        <f t="shared" si="11"/>
        <v>#DIV/0!</v>
      </c>
      <c r="AY33" s="82">
        <f>AY34+AY36+AY37+AY39</f>
        <v>0</v>
      </c>
      <c r="AZ33" s="82">
        <f>AZ34+AZ36+AZ37+AZ39</f>
        <v>0</v>
      </c>
      <c r="BA33" s="204" t="e">
        <f t="shared" si="36"/>
        <v>#DIV/0!</v>
      </c>
      <c r="BB33" s="82"/>
      <c r="BC33" s="82"/>
      <c r="BD33" s="100" t="e">
        <f t="shared" si="14"/>
        <v>#DIV/0!</v>
      </c>
      <c r="BE33" s="82"/>
      <c r="BF33" s="82"/>
      <c r="BG33" s="100" t="e">
        <f t="shared" si="15"/>
        <v>#DIV/0!</v>
      </c>
      <c r="BH33" s="82">
        <f>BH34+BH36+BH37+BH39</f>
        <v>0</v>
      </c>
      <c r="BI33" s="131">
        <f>BI34+BI36+BI37+BI39</f>
        <v>0</v>
      </c>
      <c r="BJ33" s="99" t="e">
        <f t="shared" si="16"/>
        <v>#DIV/0!</v>
      </c>
      <c r="BK33" s="82">
        <f>BK34+BK36+BK37+BK39</f>
        <v>0</v>
      </c>
      <c r="BL33" s="82">
        <f>BL34+BL36+BL37+BL39</f>
        <v>0</v>
      </c>
      <c r="BM33" s="204" t="e">
        <f t="shared" si="37"/>
        <v>#DIV/0!</v>
      </c>
      <c r="BN33" s="131">
        <f>BN34+BN36+BN37+BN39</f>
        <v>881175</v>
      </c>
      <c r="BO33" s="134">
        <f t="shared" si="18"/>
        <v>0.3362878296378277</v>
      </c>
      <c r="BP33" s="197">
        <f t="shared" si="1"/>
        <v>849000</v>
      </c>
    </row>
    <row r="34" spans="1:80" ht="13.5" thickBot="1">
      <c r="A34" s="102">
        <v>2</v>
      </c>
      <c r="B34" s="103">
        <v>1</v>
      </c>
      <c r="C34" s="103">
        <v>2</v>
      </c>
      <c r="D34" s="103">
        <v>2</v>
      </c>
      <c r="E34" s="85" t="s">
        <v>149</v>
      </c>
      <c r="F34" s="90" t="s">
        <v>77</v>
      </c>
      <c r="G34" s="88">
        <v>50000</v>
      </c>
      <c r="H34" s="88"/>
      <c r="I34" s="97">
        <v>0</v>
      </c>
      <c r="J34" s="137" t="e">
        <f t="shared" si="2"/>
        <v>#DIV/0!</v>
      </c>
      <c r="K34" s="148">
        <v>0</v>
      </c>
      <c r="L34" s="88">
        <v>0</v>
      </c>
      <c r="M34" s="89" t="e">
        <f t="shared" si="4"/>
        <v>#DIV/0!</v>
      </c>
      <c r="N34" s="88"/>
      <c r="O34" s="88">
        <v>0</v>
      </c>
      <c r="P34" s="89" t="e">
        <f t="shared" si="21"/>
        <v>#DIV/0!</v>
      </c>
      <c r="Q34" s="200">
        <f>N34+K34+H34</f>
        <v>0</v>
      </c>
      <c r="R34" s="200"/>
      <c r="S34" s="200">
        <v>0</v>
      </c>
      <c r="T34" s="200"/>
      <c r="U34" s="200"/>
      <c r="V34" s="200"/>
      <c r="W34" s="421"/>
      <c r="X34" s="425"/>
      <c r="Y34" s="235"/>
      <c r="Z34" s="235"/>
      <c r="AA34" s="425"/>
      <c r="AB34" s="232">
        <f>+I34+L34+O34+S34+T34+U34+V34+W34+X34+Y34+Z34+AA34</f>
        <v>0</v>
      </c>
      <c r="AC34" s="443" t="e">
        <f t="shared" si="23"/>
        <v>#DIV/0!</v>
      </c>
      <c r="AD34" s="88"/>
      <c r="AE34" s="97"/>
      <c r="AF34" s="89" t="e">
        <f t="shared" si="5"/>
        <v>#DIV/0!</v>
      </c>
      <c r="AG34" s="88"/>
      <c r="AH34" s="97"/>
      <c r="AI34" s="89" t="e">
        <f t="shared" si="6"/>
        <v>#DIV/0!</v>
      </c>
      <c r="AJ34" s="88"/>
      <c r="AK34" s="97"/>
      <c r="AL34" s="89" t="e">
        <f t="shared" si="7"/>
        <v>#DIV/0!</v>
      </c>
      <c r="AM34" s="200">
        <f aca="true" t="shared" si="39" ref="AM34:AN39">AJ34+AG34+AD34</f>
        <v>0</v>
      </c>
      <c r="AN34" s="200">
        <f t="shared" si="39"/>
        <v>0</v>
      </c>
      <c r="AO34" s="204" t="e">
        <f t="shared" si="35"/>
        <v>#DIV/0!</v>
      </c>
      <c r="AP34" s="88"/>
      <c r="AQ34" s="97"/>
      <c r="AR34" s="98" t="e">
        <f t="shared" si="9"/>
        <v>#DIV/0!</v>
      </c>
      <c r="AS34" s="88"/>
      <c r="AT34" s="97"/>
      <c r="AU34" s="99" t="e">
        <f t="shared" si="10"/>
        <v>#DIV/0!</v>
      </c>
      <c r="AV34" s="86"/>
      <c r="AW34" s="86"/>
      <c r="AX34" s="100" t="e">
        <f t="shared" si="11"/>
        <v>#DIV/0!</v>
      </c>
      <c r="AY34" s="88">
        <f aca="true" t="shared" si="40" ref="AY34:AZ39">AV34+AS34+AP34</f>
        <v>0</v>
      </c>
      <c r="AZ34" s="88">
        <f t="shared" si="40"/>
        <v>0</v>
      </c>
      <c r="BA34" s="204" t="e">
        <f t="shared" si="36"/>
        <v>#DIV/0!</v>
      </c>
      <c r="BB34" s="88"/>
      <c r="BC34" s="88"/>
      <c r="BD34" s="100" t="e">
        <f t="shared" si="14"/>
        <v>#DIV/0!</v>
      </c>
      <c r="BE34" s="88"/>
      <c r="BF34" s="88"/>
      <c r="BG34" s="100" t="e">
        <f t="shared" si="15"/>
        <v>#DIV/0!</v>
      </c>
      <c r="BH34" s="88"/>
      <c r="BI34" s="97"/>
      <c r="BJ34" s="99" t="e">
        <f t="shared" si="16"/>
        <v>#DIV/0!</v>
      </c>
      <c r="BK34" s="200">
        <f aca="true" t="shared" si="41" ref="BK34:BL39">BH34+BE34+BB34</f>
        <v>0</v>
      </c>
      <c r="BL34" s="200">
        <f t="shared" si="41"/>
        <v>0</v>
      </c>
      <c r="BM34" s="204" t="e">
        <f t="shared" si="37"/>
        <v>#DIV/0!</v>
      </c>
      <c r="BN34" s="97">
        <f>I34+L34+O34+AE34+AH34+AK34+AQ34+AT34+AW34+BC34+BF34+BI34</f>
        <v>0</v>
      </c>
      <c r="BO34" s="134">
        <f t="shared" si="18"/>
        <v>0</v>
      </c>
      <c r="BP34" s="197">
        <f t="shared" si="1"/>
        <v>50000</v>
      </c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80" ht="13.5" thickBot="1">
      <c r="A35" s="102">
        <v>2</v>
      </c>
      <c r="B35" s="103">
        <v>1</v>
      </c>
      <c r="C35" s="103">
        <v>2</v>
      </c>
      <c r="D35" s="103">
        <v>2</v>
      </c>
      <c r="E35" s="85" t="s">
        <v>150</v>
      </c>
      <c r="F35" s="90" t="s">
        <v>259</v>
      </c>
      <c r="G35" s="88">
        <v>0</v>
      </c>
      <c r="H35" s="88"/>
      <c r="I35" s="97"/>
      <c r="J35" s="137"/>
      <c r="K35" s="148"/>
      <c r="L35" s="88"/>
      <c r="M35" s="89"/>
      <c r="N35" s="88"/>
      <c r="O35" s="88"/>
      <c r="P35" s="89"/>
      <c r="Q35" s="200"/>
      <c r="R35" s="200"/>
      <c r="S35" s="200"/>
      <c r="T35" s="200"/>
      <c r="U35" s="200"/>
      <c r="V35" s="200"/>
      <c r="W35" s="421"/>
      <c r="X35" s="425"/>
      <c r="Y35" s="235"/>
      <c r="Z35" s="235"/>
      <c r="AA35" s="425">
        <v>0</v>
      </c>
      <c r="AB35" s="238">
        <f>+AA35</f>
        <v>0</v>
      </c>
      <c r="AC35" s="443"/>
      <c r="AD35" s="88"/>
      <c r="AE35" s="97"/>
      <c r="AF35" s="89"/>
      <c r="AG35" s="88"/>
      <c r="AH35" s="97"/>
      <c r="AI35" s="89"/>
      <c r="AJ35" s="88"/>
      <c r="AK35" s="97"/>
      <c r="AL35" s="89"/>
      <c r="AM35" s="200"/>
      <c r="AN35" s="200"/>
      <c r="AO35" s="204"/>
      <c r="AP35" s="88"/>
      <c r="AQ35" s="97"/>
      <c r="AR35" s="98"/>
      <c r="AS35" s="88"/>
      <c r="AT35" s="97"/>
      <c r="AU35" s="99"/>
      <c r="AV35" s="86"/>
      <c r="AW35" s="86"/>
      <c r="AX35" s="100"/>
      <c r="AY35" s="88"/>
      <c r="AZ35" s="88"/>
      <c r="BA35" s="204"/>
      <c r="BB35" s="88"/>
      <c r="BC35" s="88"/>
      <c r="BD35" s="100"/>
      <c r="BE35" s="88"/>
      <c r="BF35" s="88"/>
      <c r="BG35" s="100"/>
      <c r="BH35" s="88"/>
      <c r="BI35" s="97"/>
      <c r="BJ35" s="99"/>
      <c r="BK35" s="200"/>
      <c r="BL35" s="200"/>
      <c r="BM35" s="204"/>
      <c r="BN35" s="97"/>
      <c r="BO35" s="134"/>
      <c r="BP35" s="197">
        <f t="shared" si="1"/>
        <v>0</v>
      </c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</row>
    <row r="36" spans="1:80" ht="13.5" thickBot="1">
      <c r="A36" s="102">
        <v>2</v>
      </c>
      <c r="B36" s="103">
        <v>1</v>
      </c>
      <c r="C36" s="103">
        <v>2</v>
      </c>
      <c r="D36" s="103">
        <v>2</v>
      </c>
      <c r="E36" s="85" t="s">
        <v>152</v>
      </c>
      <c r="F36" s="90" t="s">
        <v>17</v>
      </c>
      <c r="G36" s="88">
        <f>3924300-150000-5000-775000-205000-700000-415000</f>
        <v>1674300</v>
      </c>
      <c r="H36" s="88"/>
      <c r="I36" s="97">
        <v>277475</v>
      </c>
      <c r="J36" s="137" t="e">
        <f t="shared" si="2"/>
        <v>#DIV/0!</v>
      </c>
      <c r="K36" s="148"/>
      <c r="L36" s="88">
        <v>277475</v>
      </c>
      <c r="M36" s="89" t="e">
        <f t="shared" si="4"/>
        <v>#DIV/0!</v>
      </c>
      <c r="N36" s="88"/>
      <c r="O36" s="88">
        <v>277475</v>
      </c>
      <c r="P36" s="89" t="e">
        <f t="shared" si="21"/>
        <v>#DIV/0!</v>
      </c>
      <c r="Q36" s="200">
        <f>N36+K36+H36</f>
        <v>0</v>
      </c>
      <c r="R36" s="200"/>
      <c r="S36" s="200">
        <f>366150+60325</f>
        <v>426475</v>
      </c>
      <c r="T36" s="200">
        <v>366150</v>
      </c>
      <c r="U36" s="200">
        <v>0</v>
      </c>
      <c r="V36" s="200">
        <v>0</v>
      </c>
      <c r="W36" s="421">
        <v>0</v>
      </c>
      <c r="X36" s="425">
        <v>0</v>
      </c>
      <c r="Y36" s="235">
        <v>0</v>
      </c>
      <c r="Z36" s="235">
        <v>0</v>
      </c>
      <c r="AA36" s="425">
        <v>0</v>
      </c>
      <c r="AB36" s="238">
        <f>+I36+L36+O36+S36+T36+U36+V36+W36+X36+Y36+Z36+AA36</f>
        <v>1625050</v>
      </c>
      <c r="AC36" s="443" t="e">
        <f t="shared" si="23"/>
        <v>#DIV/0!</v>
      </c>
      <c r="AD36" s="88"/>
      <c r="AE36" s="97"/>
      <c r="AF36" s="89" t="e">
        <f t="shared" si="5"/>
        <v>#DIV/0!</v>
      </c>
      <c r="AG36" s="88"/>
      <c r="AH36" s="97"/>
      <c r="AI36" s="89" t="e">
        <f t="shared" si="6"/>
        <v>#DIV/0!</v>
      </c>
      <c r="AJ36" s="88"/>
      <c r="AK36" s="97"/>
      <c r="AL36" s="89" t="e">
        <f t="shared" si="7"/>
        <v>#DIV/0!</v>
      </c>
      <c r="AM36" s="200">
        <f t="shared" si="39"/>
        <v>0</v>
      </c>
      <c r="AN36" s="200">
        <f t="shared" si="39"/>
        <v>0</v>
      </c>
      <c r="AO36" s="204" t="e">
        <f t="shared" si="35"/>
        <v>#DIV/0!</v>
      </c>
      <c r="AP36" s="88"/>
      <c r="AQ36" s="97"/>
      <c r="AR36" s="98" t="e">
        <f t="shared" si="9"/>
        <v>#DIV/0!</v>
      </c>
      <c r="AS36" s="88"/>
      <c r="AT36" s="97"/>
      <c r="AU36" s="99" t="e">
        <f t="shared" si="10"/>
        <v>#DIV/0!</v>
      </c>
      <c r="AV36" s="86"/>
      <c r="AW36" s="86"/>
      <c r="AX36" s="100" t="e">
        <f t="shared" si="11"/>
        <v>#DIV/0!</v>
      </c>
      <c r="AY36" s="88">
        <f t="shared" si="40"/>
        <v>0</v>
      </c>
      <c r="AZ36" s="88">
        <f t="shared" si="40"/>
        <v>0</v>
      </c>
      <c r="BA36" s="204" t="e">
        <f t="shared" si="36"/>
        <v>#DIV/0!</v>
      </c>
      <c r="BB36" s="88"/>
      <c r="BC36" s="88"/>
      <c r="BD36" s="100" t="e">
        <f t="shared" si="14"/>
        <v>#DIV/0!</v>
      </c>
      <c r="BE36" s="88"/>
      <c r="BF36" s="88"/>
      <c r="BG36" s="100" t="e">
        <f t="shared" si="15"/>
        <v>#DIV/0!</v>
      </c>
      <c r="BH36" s="88"/>
      <c r="BI36" s="97"/>
      <c r="BJ36" s="99" t="e">
        <f t="shared" si="16"/>
        <v>#DIV/0!</v>
      </c>
      <c r="BK36" s="200">
        <f t="shared" si="41"/>
        <v>0</v>
      </c>
      <c r="BL36" s="200">
        <f t="shared" si="41"/>
        <v>0</v>
      </c>
      <c r="BM36" s="204" t="e">
        <f t="shared" si="37"/>
        <v>#DIV/0!</v>
      </c>
      <c r="BN36" s="97">
        <f>I36+L36+O36+AE36+AH36+AK36+AQ36+AT36+AW36+BC36+BF36+BI36</f>
        <v>832425</v>
      </c>
      <c r="BO36" s="134">
        <f>BN36/G36</f>
        <v>0.4971779251030281</v>
      </c>
      <c r="BP36" s="197">
        <f t="shared" si="1"/>
        <v>49250</v>
      </c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ht="13.5" thickBot="1">
      <c r="A37" s="102">
        <v>2</v>
      </c>
      <c r="B37" s="103">
        <v>1</v>
      </c>
      <c r="C37" s="103">
        <v>2</v>
      </c>
      <c r="D37" s="103">
        <v>2</v>
      </c>
      <c r="E37" s="85" t="s">
        <v>153</v>
      </c>
      <c r="F37" s="90" t="s">
        <v>80</v>
      </c>
      <c r="G37" s="88">
        <f>243000-47000</f>
        <v>196000</v>
      </c>
      <c r="H37" s="88"/>
      <c r="I37" s="97">
        <v>16250</v>
      </c>
      <c r="J37" s="137" t="e">
        <f t="shared" si="2"/>
        <v>#DIV/0!</v>
      </c>
      <c r="K37" s="148"/>
      <c r="L37" s="88">
        <v>16250</v>
      </c>
      <c r="M37" s="89" t="e">
        <f t="shared" si="4"/>
        <v>#DIV/0!</v>
      </c>
      <c r="N37" s="88"/>
      <c r="O37" s="88">
        <v>16250</v>
      </c>
      <c r="P37" s="89" t="e">
        <f t="shared" si="21"/>
        <v>#DIV/0!</v>
      </c>
      <c r="Q37" s="200">
        <f>N37+K37+H37</f>
        <v>0</v>
      </c>
      <c r="R37" s="200"/>
      <c r="S37" s="200">
        <v>16250</v>
      </c>
      <c r="T37" s="200">
        <v>16250</v>
      </c>
      <c r="U37" s="200">
        <v>16250</v>
      </c>
      <c r="V37" s="200">
        <v>16250</v>
      </c>
      <c r="W37" s="421">
        <v>16250</v>
      </c>
      <c r="X37" s="425">
        <v>16250</v>
      </c>
      <c r="Y37" s="235">
        <v>0</v>
      </c>
      <c r="Z37" s="235">
        <v>0</v>
      </c>
      <c r="AA37" s="425">
        <v>0</v>
      </c>
      <c r="AB37" s="238">
        <f>+I37+L37+O37+S37+T37+U37+V37+W37+X37+Y37+Z37+AA37</f>
        <v>146250</v>
      </c>
      <c r="AC37" s="443" t="e">
        <f t="shared" si="23"/>
        <v>#DIV/0!</v>
      </c>
      <c r="AD37" s="88"/>
      <c r="AE37" s="97"/>
      <c r="AF37" s="89" t="e">
        <f t="shared" si="5"/>
        <v>#DIV/0!</v>
      </c>
      <c r="AG37" s="88"/>
      <c r="AH37" s="97"/>
      <c r="AI37" s="89" t="e">
        <f t="shared" si="6"/>
        <v>#DIV/0!</v>
      </c>
      <c r="AJ37" s="88"/>
      <c r="AK37" s="97"/>
      <c r="AL37" s="89" t="e">
        <f t="shared" si="7"/>
        <v>#DIV/0!</v>
      </c>
      <c r="AM37" s="200">
        <f t="shared" si="39"/>
        <v>0</v>
      </c>
      <c r="AN37" s="200">
        <f t="shared" si="39"/>
        <v>0</v>
      </c>
      <c r="AO37" s="204" t="e">
        <f t="shared" si="35"/>
        <v>#DIV/0!</v>
      </c>
      <c r="AP37" s="88"/>
      <c r="AQ37" s="97"/>
      <c r="AR37" s="98" t="e">
        <f t="shared" si="9"/>
        <v>#DIV/0!</v>
      </c>
      <c r="AS37" s="88"/>
      <c r="AT37" s="97"/>
      <c r="AU37" s="99" t="e">
        <f t="shared" si="10"/>
        <v>#DIV/0!</v>
      </c>
      <c r="AV37" s="86"/>
      <c r="AW37" s="86"/>
      <c r="AX37" s="100" t="e">
        <f t="shared" si="11"/>
        <v>#DIV/0!</v>
      </c>
      <c r="AY37" s="88">
        <f t="shared" si="40"/>
        <v>0</v>
      </c>
      <c r="AZ37" s="88">
        <f t="shared" si="40"/>
        <v>0</v>
      </c>
      <c r="BA37" s="204" t="e">
        <f t="shared" si="36"/>
        <v>#DIV/0!</v>
      </c>
      <c r="BB37" s="88"/>
      <c r="BC37" s="88"/>
      <c r="BD37" s="100" t="e">
        <f t="shared" si="14"/>
        <v>#DIV/0!</v>
      </c>
      <c r="BE37" s="88"/>
      <c r="BF37" s="88"/>
      <c r="BG37" s="100" t="e">
        <f t="shared" si="15"/>
        <v>#DIV/0!</v>
      </c>
      <c r="BH37" s="88"/>
      <c r="BI37" s="97"/>
      <c r="BJ37" s="99" t="e">
        <f t="shared" si="16"/>
        <v>#DIV/0!</v>
      </c>
      <c r="BK37" s="200">
        <f t="shared" si="41"/>
        <v>0</v>
      </c>
      <c r="BL37" s="200">
        <f t="shared" si="41"/>
        <v>0</v>
      </c>
      <c r="BM37" s="204" t="e">
        <f t="shared" si="37"/>
        <v>#DIV/0!</v>
      </c>
      <c r="BN37" s="97">
        <f>I37+L37+O37+AE37+AH37+AK37+AQ37+AT37+AW37+BC37+BF37+BI37</f>
        <v>48750</v>
      </c>
      <c r="BO37" s="134">
        <f>BN37/G37</f>
        <v>0.24872448979591838</v>
      </c>
      <c r="BP37" s="197">
        <f t="shared" si="1"/>
        <v>49750</v>
      </c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</row>
    <row r="38" spans="1:80" ht="13.5" thickBot="1">
      <c r="A38" s="102">
        <v>2</v>
      </c>
      <c r="B38" s="103">
        <v>1</v>
      </c>
      <c r="C38" s="103">
        <v>2</v>
      </c>
      <c r="D38" s="103">
        <v>2</v>
      </c>
      <c r="E38" s="85" t="s">
        <v>156</v>
      </c>
      <c r="F38" s="90" t="s">
        <v>239</v>
      </c>
      <c r="G38" s="88">
        <f>200000-150000</f>
        <v>50000</v>
      </c>
      <c r="H38" s="88"/>
      <c r="I38" s="97"/>
      <c r="J38" s="137"/>
      <c r="K38" s="148"/>
      <c r="L38" s="88"/>
      <c r="M38" s="89"/>
      <c r="N38" s="88"/>
      <c r="O38" s="88"/>
      <c r="P38" s="89"/>
      <c r="Q38" s="200"/>
      <c r="R38" s="200"/>
      <c r="S38" s="200"/>
      <c r="T38" s="200"/>
      <c r="U38" s="200"/>
      <c r="V38" s="200"/>
      <c r="W38" s="421"/>
      <c r="X38" s="425"/>
      <c r="Y38" s="235"/>
      <c r="Z38" s="235"/>
      <c r="AA38" s="425"/>
      <c r="AB38" s="238">
        <f>+I38+L38+O38+S38+T38+U38+V38+W38+X38+Y38+Z38+AA38</f>
        <v>0</v>
      </c>
      <c r="AC38" s="443"/>
      <c r="AD38" s="88"/>
      <c r="AE38" s="97"/>
      <c r="AF38" s="89"/>
      <c r="AG38" s="88"/>
      <c r="AH38" s="97"/>
      <c r="AI38" s="89"/>
      <c r="AJ38" s="88"/>
      <c r="AK38" s="97"/>
      <c r="AL38" s="89"/>
      <c r="AM38" s="200"/>
      <c r="AN38" s="200"/>
      <c r="AO38" s="204"/>
      <c r="AP38" s="88"/>
      <c r="AQ38" s="97"/>
      <c r="AR38" s="98"/>
      <c r="AS38" s="88"/>
      <c r="AT38" s="97"/>
      <c r="AU38" s="99"/>
      <c r="AV38" s="86"/>
      <c r="AW38" s="86"/>
      <c r="AX38" s="100"/>
      <c r="AY38" s="88"/>
      <c r="AZ38" s="88"/>
      <c r="BA38" s="204"/>
      <c r="BB38" s="88"/>
      <c r="BC38" s="88"/>
      <c r="BD38" s="100"/>
      <c r="BE38" s="88"/>
      <c r="BF38" s="88"/>
      <c r="BG38" s="100"/>
      <c r="BH38" s="88"/>
      <c r="BI38" s="97"/>
      <c r="BJ38" s="99"/>
      <c r="BK38" s="200"/>
      <c r="BL38" s="200"/>
      <c r="BM38" s="204"/>
      <c r="BN38" s="97"/>
      <c r="BO38" s="134"/>
      <c r="BP38" s="197">
        <f t="shared" si="1"/>
        <v>50000</v>
      </c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80" ht="13.5" thickBot="1">
      <c r="A39" s="102">
        <v>2</v>
      </c>
      <c r="B39" s="103">
        <v>1</v>
      </c>
      <c r="C39" s="103">
        <v>2</v>
      </c>
      <c r="D39" s="103">
        <v>2</v>
      </c>
      <c r="E39" s="85" t="s">
        <v>158</v>
      </c>
      <c r="F39" s="90" t="s">
        <v>14</v>
      </c>
      <c r="G39" s="88">
        <v>650000</v>
      </c>
      <c r="H39" s="88"/>
      <c r="I39" s="97"/>
      <c r="J39" s="137" t="e">
        <f t="shared" si="2"/>
        <v>#DIV/0!</v>
      </c>
      <c r="K39" s="148"/>
      <c r="L39" s="88"/>
      <c r="M39" s="89" t="e">
        <f t="shared" si="4"/>
        <v>#DIV/0!</v>
      </c>
      <c r="N39" s="88"/>
      <c r="O39" s="88"/>
      <c r="P39" s="89" t="e">
        <f t="shared" si="21"/>
        <v>#DIV/0!</v>
      </c>
      <c r="Q39" s="200">
        <f>N39+K39+H39</f>
        <v>0</v>
      </c>
      <c r="R39" s="200"/>
      <c r="S39" s="200"/>
      <c r="T39" s="200"/>
      <c r="U39" s="200"/>
      <c r="V39" s="200"/>
      <c r="W39" s="421">
        <v>0</v>
      </c>
      <c r="X39" s="425"/>
      <c r="Y39" s="235"/>
      <c r="Z39" s="235"/>
      <c r="AA39" s="425">
        <v>0</v>
      </c>
      <c r="AB39" s="238">
        <f>+I39+L39+O39+S39+T39+U39+V39+W39+X39+Y39+Z39+AA39</f>
        <v>0</v>
      </c>
      <c r="AC39" s="443" t="e">
        <f t="shared" si="23"/>
        <v>#DIV/0!</v>
      </c>
      <c r="AD39" s="88"/>
      <c r="AE39" s="97"/>
      <c r="AF39" s="89" t="e">
        <f t="shared" si="5"/>
        <v>#DIV/0!</v>
      </c>
      <c r="AG39" s="88"/>
      <c r="AH39" s="97"/>
      <c r="AI39" s="89" t="e">
        <f t="shared" si="6"/>
        <v>#DIV/0!</v>
      </c>
      <c r="AJ39" s="88"/>
      <c r="AK39" s="97"/>
      <c r="AL39" s="89" t="e">
        <f t="shared" si="7"/>
        <v>#DIV/0!</v>
      </c>
      <c r="AM39" s="200">
        <f t="shared" si="39"/>
        <v>0</v>
      </c>
      <c r="AN39" s="200">
        <f t="shared" si="39"/>
        <v>0</v>
      </c>
      <c r="AO39" s="204" t="e">
        <f t="shared" si="35"/>
        <v>#DIV/0!</v>
      </c>
      <c r="AP39" s="88"/>
      <c r="AQ39" s="97"/>
      <c r="AR39" s="98" t="e">
        <f t="shared" si="9"/>
        <v>#DIV/0!</v>
      </c>
      <c r="AS39" s="88"/>
      <c r="AT39" s="97"/>
      <c r="AU39" s="99" t="e">
        <f t="shared" si="10"/>
        <v>#DIV/0!</v>
      </c>
      <c r="AV39" s="86"/>
      <c r="AW39" s="86"/>
      <c r="AX39" s="100" t="e">
        <f t="shared" si="11"/>
        <v>#DIV/0!</v>
      </c>
      <c r="AY39" s="88">
        <f t="shared" si="40"/>
        <v>0</v>
      </c>
      <c r="AZ39" s="88">
        <f t="shared" si="40"/>
        <v>0</v>
      </c>
      <c r="BA39" s="204" t="e">
        <f t="shared" si="36"/>
        <v>#DIV/0!</v>
      </c>
      <c r="BB39" s="88"/>
      <c r="BC39" s="88"/>
      <c r="BD39" s="100" t="e">
        <f t="shared" si="14"/>
        <v>#DIV/0!</v>
      </c>
      <c r="BE39" s="88"/>
      <c r="BF39" s="88"/>
      <c r="BG39" s="100" t="e">
        <f t="shared" si="15"/>
        <v>#DIV/0!</v>
      </c>
      <c r="BH39" s="88"/>
      <c r="BI39" s="97"/>
      <c r="BJ39" s="99" t="e">
        <f t="shared" si="16"/>
        <v>#DIV/0!</v>
      </c>
      <c r="BK39" s="200">
        <f t="shared" si="41"/>
        <v>0</v>
      </c>
      <c r="BL39" s="200">
        <f t="shared" si="41"/>
        <v>0</v>
      </c>
      <c r="BM39" s="204" t="e">
        <f t="shared" si="37"/>
        <v>#DIV/0!</v>
      </c>
      <c r="BN39" s="97">
        <f>I39+L39+O39+AE39+AH39+AK39+AQ39+AT39+AW39+BC39+BF39+BI39</f>
        <v>0</v>
      </c>
      <c r="BO39" s="134">
        <f t="shared" si="18"/>
        <v>0</v>
      </c>
      <c r="BP39" s="197">
        <f t="shared" si="1"/>
        <v>650000</v>
      </c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</row>
    <row r="40" spans="1:68" s="78" customFormat="1" ht="13.5" thickBot="1">
      <c r="A40" s="102"/>
      <c r="B40" s="103"/>
      <c r="C40" s="103"/>
      <c r="D40" s="103"/>
      <c r="E40" s="85"/>
      <c r="F40" s="90"/>
      <c r="G40" s="88"/>
      <c r="H40" s="88"/>
      <c r="I40" s="97"/>
      <c r="J40" s="137"/>
      <c r="K40" s="148"/>
      <c r="L40" s="88"/>
      <c r="M40" s="89"/>
      <c r="N40" s="88"/>
      <c r="O40" s="88"/>
      <c r="P40" s="89"/>
      <c r="Q40" s="200"/>
      <c r="R40" s="200"/>
      <c r="S40" s="200"/>
      <c r="T40" s="200"/>
      <c r="U40" s="200"/>
      <c r="V40" s="200"/>
      <c r="W40" s="421"/>
      <c r="X40" s="425"/>
      <c r="Y40" s="235"/>
      <c r="Z40" s="235"/>
      <c r="AA40" s="425"/>
      <c r="AB40" s="238">
        <f>+I40+L40+O40+S40+T40+U40+V40+W40+X40+Y40+Z40+AA40</f>
        <v>0</v>
      </c>
      <c r="AC40" s="443"/>
      <c r="AD40" s="88"/>
      <c r="AE40" s="97"/>
      <c r="AF40" s="89"/>
      <c r="AG40" s="88"/>
      <c r="AH40" s="97"/>
      <c r="AI40" s="89"/>
      <c r="AJ40" s="88"/>
      <c r="AK40" s="97"/>
      <c r="AL40" s="89"/>
      <c r="AM40" s="200"/>
      <c r="AN40" s="200"/>
      <c r="AO40" s="204"/>
      <c r="AP40" s="88"/>
      <c r="AQ40" s="97"/>
      <c r="AR40" s="98"/>
      <c r="AS40" s="88"/>
      <c r="AT40" s="97"/>
      <c r="AU40" s="99"/>
      <c r="AV40" s="86"/>
      <c r="AW40" s="86"/>
      <c r="AX40" s="100"/>
      <c r="AY40" s="88"/>
      <c r="AZ40" s="88"/>
      <c r="BA40" s="204"/>
      <c r="BB40" s="88"/>
      <c r="BC40" s="88"/>
      <c r="BD40" s="100"/>
      <c r="BE40" s="88"/>
      <c r="BF40" s="88"/>
      <c r="BG40" s="100"/>
      <c r="BH40" s="88"/>
      <c r="BI40" s="97"/>
      <c r="BJ40" s="99"/>
      <c r="BK40" s="200"/>
      <c r="BL40" s="200"/>
      <c r="BM40" s="204"/>
      <c r="BN40" s="97"/>
      <c r="BO40" s="134"/>
      <c r="BP40" s="197">
        <f t="shared" si="1"/>
        <v>0</v>
      </c>
    </row>
    <row r="41" spans="1:68" s="76" customFormat="1" ht="22.5" thickBot="1">
      <c r="A41" s="102">
        <v>2</v>
      </c>
      <c r="B41" s="103">
        <v>1</v>
      </c>
      <c r="C41" s="103">
        <v>3</v>
      </c>
      <c r="D41" s="84"/>
      <c r="E41" s="104"/>
      <c r="F41" s="155" t="s">
        <v>160</v>
      </c>
      <c r="G41" s="82">
        <f>G42+G45</f>
        <v>299000</v>
      </c>
      <c r="H41" s="82">
        <f>H42+H43+H44+H45</f>
        <v>0</v>
      </c>
      <c r="I41" s="131">
        <f>I42+I45</f>
        <v>22650</v>
      </c>
      <c r="J41" s="131" t="e">
        <f>J42+J45</f>
        <v>#DIV/0!</v>
      </c>
      <c r="K41" s="131">
        <f>K42+K45</f>
        <v>0</v>
      </c>
      <c r="L41" s="131">
        <f>L42+L45</f>
        <v>22650</v>
      </c>
      <c r="M41" s="131" t="e">
        <f aca="true" t="shared" si="42" ref="M41:U41">M42+M45</f>
        <v>#DIV/0!</v>
      </c>
      <c r="N41" s="131">
        <f t="shared" si="42"/>
        <v>0</v>
      </c>
      <c r="O41" s="131">
        <f t="shared" si="42"/>
        <v>22650</v>
      </c>
      <c r="P41" s="131" t="e">
        <f t="shared" si="42"/>
        <v>#DIV/0!</v>
      </c>
      <c r="Q41" s="131">
        <f t="shared" si="42"/>
        <v>0</v>
      </c>
      <c r="R41" s="131">
        <f t="shared" si="42"/>
        <v>0</v>
      </c>
      <c r="S41" s="131">
        <f t="shared" si="42"/>
        <v>22650</v>
      </c>
      <c r="T41" s="131">
        <f t="shared" si="42"/>
        <v>22650</v>
      </c>
      <c r="U41" s="131">
        <f t="shared" si="42"/>
        <v>22650</v>
      </c>
      <c r="V41" s="131">
        <f aca="true" t="shared" si="43" ref="V41:AB41">V42+V45</f>
        <v>22650</v>
      </c>
      <c r="W41" s="131">
        <f t="shared" si="43"/>
        <v>22650</v>
      </c>
      <c r="X41" s="131">
        <f t="shared" si="43"/>
        <v>22650</v>
      </c>
      <c r="Y41" s="131">
        <f t="shared" si="43"/>
        <v>0</v>
      </c>
      <c r="Z41" s="131">
        <f t="shared" si="43"/>
        <v>0</v>
      </c>
      <c r="AA41" s="131">
        <f t="shared" si="43"/>
        <v>0</v>
      </c>
      <c r="AB41" s="232">
        <f t="shared" si="43"/>
        <v>203850</v>
      </c>
      <c r="AC41" s="443" t="e">
        <f t="shared" si="23"/>
        <v>#DIV/0!</v>
      </c>
      <c r="AD41" s="82">
        <f>AD42+AD43+AD44+AD45</f>
        <v>0</v>
      </c>
      <c r="AE41" s="131">
        <f>AE42</f>
        <v>0</v>
      </c>
      <c r="AF41" s="89" t="e">
        <f t="shared" si="5"/>
        <v>#DIV/0!</v>
      </c>
      <c r="AG41" s="82">
        <f>AG42+AG43+AG44+AG45</f>
        <v>0</v>
      </c>
      <c r="AH41" s="131">
        <f>AH42</f>
        <v>0</v>
      </c>
      <c r="AI41" s="89" t="e">
        <f t="shared" si="6"/>
        <v>#DIV/0!</v>
      </c>
      <c r="AJ41" s="82">
        <f>AJ42+AJ43+AJ44+AJ45</f>
        <v>0</v>
      </c>
      <c r="AK41" s="131">
        <f>AK42</f>
        <v>0</v>
      </c>
      <c r="AL41" s="89" t="e">
        <f t="shared" si="7"/>
        <v>#DIV/0!</v>
      </c>
      <c r="AM41" s="82">
        <f>AM42+AM45</f>
        <v>0</v>
      </c>
      <c r="AN41" s="82">
        <f>AN42+AN45</f>
        <v>0</v>
      </c>
      <c r="AO41" s="204" t="e">
        <f t="shared" si="35"/>
        <v>#DIV/0!</v>
      </c>
      <c r="AP41" s="82">
        <f>AP42+AP43+AP44+AP45</f>
        <v>0</v>
      </c>
      <c r="AQ41" s="131">
        <f>AQ42</f>
        <v>0</v>
      </c>
      <c r="AR41" s="98" t="e">
        <f t="shared" si="9"/>
        <v>#DIV/0!</v>
      </c>
      <c r="AS41" s="82">
        <f>AS42+AS43+AS44+AS45</f>
        <v>0</v>
      </c>
      <c r="AT41" s="131">
        <f>AT42</f>
        <v>0</v>
      </c>
      <c r="AU41" s="99" t="e">
        <f t="shared" si="10"/>
        <v>#DIV/0!</v>
      </c>
      <c r="AV41" s="82">
        <f>AV42</f>
        <v>0</v>
      </c>
      <c r="AW41" s="82">
        <f>AW42</f>
        <v>0</v>
      </c>
      <c r="AX41" s="100" t="e">
        <f t="shared" si="11"/>
        <v>#DIV/0!</v>
      </c>
      <c r="AY41" s="82">
        <f>AY42+AY45</f>
        <v>0</v>
      </c>
      <c r="AZ41" s="82">
        <f>AZ42+AZ45</f>
        <v>0</v>
      </c>
      <c r="BA41" s="204" t="e">
        <f t="shared" si="36"/>
        <v>#DIV/0!</v>
      </c>
      <c r="BB41" s="82"/>
      <c r="BC41" s="82"/>
      <c r="BD41" s="100" t="e">
        <f t="shared" si="14"/>
        <v>#DIV/0!</v>
      </c>
      <c r="BE41" s="82"/>
      <c r="BF41" s="82"/>
      <c r="BG41" s="100" t="e">
        <f t="shared" si="15"/>
        <v>#DIV/0!</v>
      </c>
      <c r="BH41" s="82">
        <f>BH42</f>
        <v>0</v>
      </c>
      <c r="BI41" s="131">
        <f>BI42</f>
        <v>0</v>
      </c>
      <c r="BJ41" s="99" t="e">
        <f t="shared" si="16"/>
        <v>#DIV/0!</v>
      </c>
      <c r="BK41" s="82">
        <f>BK42+BK45</f>
        <v>0</v>
      </c>
      <c r="BL41" s="82">
        <f>BL42+BL45</f>
        <v>0</v>
      </c>
      <c r="BM41" s="204" t="e">
        <f t="shared" si="37"/>
        <v>#DIV/0!</v>
      </c>
      <c r="BN41" s="82">
        <f>BN42+BN45</f>
        <v>67950</v>
      </c>
      <c r="BO41" s="134">
        <f t="shared" si="18"/>
        <v>0.22725752508361205</v>
      </c>
      <c r="BP41" s="197">
        <f t="shared" si="1"/>
        <v>95150</v>
      </c>
    </row>
    <row r="42" spans="1:68" ht="13.5" thickBot="1">
      <c r="A42" s="102">
        <v>2</v>
      </c>
      <c r="B42" s="103">
        <v>1</v>
      </c>
      <c r="C42" s="103">
        <v>3</v>
      </c>
      <c r="D42" s="103">
        <v>1</v>
      </c>
      <c r="E42" s="202"/>
      <c r="F42" s="155" t="s">
        <v>24</v>
      </c>
      <c r="G42" s="82">
        <f>G43+G44</f>
        <v>20000</v>
      </c>
      <c r="H42" s="82">
        <f>H43+H44</f>
        <v>0</v>
      </c>
      <c r="I42" s="131">
        <f>I43+I44</f>
        <v>0</v>
      </c>
      <c r="J42" s="138" t="e">
        <f t="shared" si="2"/>
        <v>#DIV/0!</v>
      </c>
      <c r="K42" s="203">
        <f>K43+K44</f>
        <v>0</v>
      </c>
      <c r="L42" s="82">
        <f>L43+L44</f>
        <v>0</v>
      </c>
      <c r="M42" s="89" t="e">
        <f t="shared" si="4"/>
        <v>#DIV/0!</v>
      </c>
      <c r="N42" s="82">
        <f aca="true" t="shared" si="44" ref="N42:S42">N43+N44</f>
        <v>0</v>
      </c>
      <c r="O42" s="82">
        <f t="shared" si="44"/>
        <v>0</v>
      </c>
      <c r="P42" s="82" t="e">
        <f t="shared" si="44"/>
        <v>#DIV/0!</v>
      </c>
      <c r="Q42" s="82">
        <f t="shared" si="44"/>
        <v>0</v>
      </c>
      <c r="R42" s="82">
        <f t="shared" si="44"/>
        <v>0</v>
      </c>
      <c r="S42" s="82">
        <f t="shared" si="44"/>
        <v>0</v>
      </c>
      <c r="T42" s="82"/>
      <c r="U42" s="82"/>
      <c r="V42" s="82">
        <f>V43+V44</f>
        <v>0</v>
      </c>
      <c r="W42" s="82">
        <f>W43+W44</f>
        <v>0</v>
      </c>
      <c r="X42" s="426"/>
      <c r="Y42" s="232"/>
      <c r="Z42" s="232"/>
      <c r="AA42" s="426"/>
      <c r="AB42" s="232">
        <f>AB43+AB44</f>
        <v>0</v>
      </c>
      <c r="AC42" s="443" t="e">
        <f t="shared" si="23"/>
        <v>#DIV/0!</v>
      </c>
      <c r="AD42" s="82">
        <f>AD43+AD44</f>
        <v>0</v>
      </c>
      <c r="AE42" s="131">
        <f>AE43+AE44</f>
        <v>0</v>
      </c>
      <c r="AF42" s="89" t="e">
        <f t="shared" si="5"/>
        <v>#DIV/0!</v>
      </c>
      <c r="AG42" s="82">
        <f>AG43+AG44</f>
        <v>0</v>
      </c>
      <c r="AH42" s="131">
        <f>AH43+AH44</f>
        <v>0</v>
      </c>
      <c r="AI42" s="89" t="e">
        <f t="shared" si="6"/>
        <v>#DIV/0!</v>
      </c>
      <c r="AJ42" s="82">
        <f>AJ43+AJ44</f>
        <v>0</v>
      </c>
      <c r="AK42" s="131">
        <f>AK43+AK44</f>
        <v>0</v>
      </c>
      <c r="AL42" s="89" t="e">
        <f t="shared" si="7"/>
        <v>#DIV/0!</v>
      </c>
      <c r="AM42" s="82">
        <f>AM43+AM44</f>
        <v>0</v>
      </c>
      <c r="AN42" s="82">
        <f>AN43+AN44</f>
        <v>0</v>
      </c>
      <c r="AO42" s="204" t="e">
        <f t="shared" si="35"/>
        <v>#DIV/0!</v>
      </c>
      <c r="AP42" s="82">
        <f>AP43+AP44</f>
        <v>0</v>
      </c>
      <c r="AQ42" s="131">
        <f>AQ43+AQ44</f>
        <v>0</v>
      </c>
      <c r="AR42" s="98" t="e">
        <f t="shared" si="9"/>
        <v>#DIV/0!</v>
      </c>
      <c r="AS42" s="82">
        <f>AS43+AS44</f>
        <v>0</v>
      </c>
      <c r="AT42" s="131">
        <f>AT43+AT44</f>
        <v>0</v>
      </c>
      <c r="AU42" s="99" t="e">
        <f t="shared" si="10"/>
        <v>#DIV/0!</v>
      </c>
      <c r="AV42" s="82">
        <f>AV43+AV44</f>
        <v>0</v>
      </c>
      <c r="AW42" s="82">
        <f>AW43+AW44</f>
        <v>0</v>
      </c>
      <c r="AX42" s="100" t="e">
        <f t="shared" si="11"/>
        <v>#DIV/0!</v>
      </c>
      <c r="AY42" s="82">
        <f>AY43+AY44</f>
        <v>0</v>
      </c>
      <c r="AZ42" s="82">
        <f>AZ43+AZ44</f>
        <v>0</v>
      </c>
      <c r="BA42" s="204" t="e">
        <f t="shared" si="36"/>
        <v>#DIV/0!</v>
      </c>
      <c r="BB42" s="82"/>
      <c r="BC42" s="82"/>
      <c r="BD42" s="100" t="e">
        <f t="shared" si="14"/>
        <v>#DIV/0!</v>
      </c>
      <c r="BE42" s="82"/>
      <c r="BF42" s="82"/>
      <c r="BG42" s="100" t="e">
        <f t="shared" si="15"/>
        <v>#DIV/0!</v>
      </c>
      <c r="BH42" s="82">
        <f>BH43+BH44</f>
        <v>0</v>
      </c>
      <c r="BI42" s="131">
        <f>BI43+BI44</f>
        <v>0</v>
      </c>
      <c r="BJ42" s="99" t="e">
        <f t="shared" si="16"/>
        <v>#DIV/0!</v>
      </c>
      <c r="BK42" s="82">
        <f>BK43+BK44</f>
        <v>0</v>
      </c>
      <c r="BL42" s="82">
        <f>BL43+BL44</f>
        <v>0</v>
      </c>
      <c r="BM42" s="204" t="e">
        <f t="shared" si="37"/>
        <v>#DIV/0!</v>
      </c>
      <c r="BN42" s="131">
        <f>BN43+BN44</f>
        <v>0</v>
      </c>
      <c r="BO42" s="134">
        <f t="shared" si="18"/>
        <v>0</v>
      </c>
      <c r="BP42" s="197">
        <f t="shared" si="1"/>
        <v>20000</v>
      </c>
    </row>
    <row r="43" spans="1:70" ht="13.5" thickBot="1">
      <c r="A43" s="102">
        <v>2</v>
      </c>
      <c r="B43" s="103">
        <v>1</v>
      </c>
      <c r="C43" s="103">
        <v>3</v>
      </c>
      <c r="D43" s="103">
        <v>1</v>
      </c>
      <c r="E43" s="85" t="s">
        <v>149</v>
      </c>
      <c r="F43" s="90" t="s">
        <v>128</v>
      </c>
      <c r="G43" s="88">
        <v>10000</v>
      </c>
      <c r="H43" s="88"/>
      <c r="I43" s="97"/>
      <c r="J43" s="137" t="e">
        <f t="shared" si="2"/>
        <v>#DIV/0!</v>
      </c>
      <c r="K43" s="148"/>
      <c r="L43" s="88"/>
      <c r="M43" s="89" t="e">
        <f t="shared" si="4"/>
        <v>#DIV/0!</v>
      </c>
      <c r="N43" s="88"/>
      <c r="O43" s="88"/>
      <c r="P43" s="89" t="e">
        <f t="shared" si="21"/>
        <v>#DIV/0!</v>
      </c>
      <c r="Q43" s="200">
        <f>N43+K43+H43</f>
        <v>0</v>
      </c>
      <c r="R43" s="200"/>
      <c r="S43" s="200"/>
      <c r="T43" s="200"/>
      <c r="U43" s="200"/>
      <c r="V43" s="200"/>
      <c r="W43" s="421"/>
      <c r="X43" s="425"/>
      <c r="Y43" s="235"/>
      <c r="Z43" s="235"/>
      <c r="AA43" s="425"/>
      <c r="AB43" s="232">
        <f>+I43+L43+O43+S43+T43+U43+V43+W43+X43+Y43+Z43+AA43</f>
        <v>0</v>
      </c>
      <c r="AC43" s="443" t="e">
        <f t="shared" si="23"/>
        <v>#DIV/0!</v>
      </c>
      <c r="AD43" s="88"/>
      <c r="AE43" s="97"/>
      <c r="AF43" s="89" t="e">
        <f t="shared" si="5"/>
        <v>#DIV/0!</v>
      </c>
      <c r="AG43" s="88"/>
      <c r="AH43" s="97"/>
      <c r="AI43" s="89" t="e">
        <f t="shared" si="6"/>
        <v>#DIV/0!</v>
      </c>
      <c r="AJ43" s="88"/>
      <c r="AK43" s="97"/>
      <c r="AL43" s="89" t="e">
        <f t="shared" si="7"/>
        <v>#DIV/0!</v>
      </c>
      <c r="AM43" s="200">
        <f>AJ43+AG43+AD43</f>
        <v>0</v>
      </c>
      <c r="AN43" s="200">
        <f>AK43+AH43+AE43</f>
        <v>0</v>
      </c>
      <c r="AO43" s="204" t="e">
        <f t="shared" si="35"/>
        <v>#DIV/0!</v>
      </c>
      <c r="AP43" s="88"/>
      <c r="AQ43" s="97"/>
      <c r="AR43" s="98" t="e">
        <f t="shared" si="9"/>
        <v>#DIV/0!</v>
      </c>
      <c r="AS43" s="88"/>
      <c r="AT43" s="97"/>
      <c r="AU43" s="99" t="e">
        <f t="shared" si="10"/>
        <v>#DIV/0!</v>
      </c>
      <c r="AV43" s="86"/>
      <c r="AW43" s="86"/>
      <c r="AX43" s="100" t="e">
        <f t="shared" si="11"/>
        <v>#DIV/0!</v>
      </c>
      <c r="AY43" s="88">
        <f>AV43+AS43+AP43</f>
        <v>0</v>
      </c>
      <c r="AZ43" s="88">
        <f>AW43+AT43+AQ43</f>
        <v>0</v>
      </c>
      <c r="BA43" s="204" t="e">
        <f t="shared" si="36"/>
        <v>#DIV/0!</v>
      </c>
      <c r="BB43" s="88"/>
      <c r="BC43" s="88"/>
      <c r="BD43" s="100" t="e">
        <f t="shared" si="14"/>
        <v>#DIV/0!</v>
      </c>
      <c r="BE43" s="88"/>
      <c r="BF43" s="88"/>
      <c r="BG43" s="100" t="e">
        <f t="shared" si="15"/>
        <v>#DIV/0!</v>
      </c>
      <c r="BH43" s="88"/>
      <c r="BI43" s="97"/>
      <c r="BJ43" s="99" t="e">
        <f t="shared" si="16"/>
        <v>#DIV/0!</v>
      </c>
      <c r="BK43" s="200">
        <f>BH43+BE43+BB43</f>
        <v>0</v>
      </c>
      <c r="BL43" s="200">
        <f>BI43+BF43+BC43</f>
        <v>0</v>
      </c>
      <c r="BM43" s="204" t="e">
        <f t="shared" si="37"/>
        <v>#DIV/0!</v>
      </c>
      <c r="BN43" s="97">
        <f>I43+L43+O43+AE43+AH43+AK43+AQ43+AT43+AW43+BC43+BF43+BI43</f>
        <v>0</v>
      </c>
      <c r="BO43" s="134">
        <f t="shared" si="18"/>
        <v>0</v>
      </c>
      <c r="BP43" s="197">
        <f t="shared" si="1"/>
        <v>10000</v>
      </c>
      <c r="BQ43" s="78"/>
      <c r="BR43" s="78"/>
    </row>
    <row r="44" spans="1:70" ht="13.5" thickBot="1">
      <c r="A44" s="102">
        <v>2</v>
      </c>
      <c r="B44" s="103">
        <v>1</v>
      </c>
      <c r="C44" s="103">
        <v>3</v>
      </c>
      <c r="D44" s="103">
        <v>1</v>
      </c>
      <c r="E44" s="85" t="s">
        <v>150</v>
      </c>
      <c r="F44" s="90" t="s">
        <v>25</v>
      </c>
      <c r="G44" s="88">
        <v>10000</v>
      </c>
      <c r="H44" s="88"/>
      <c r="I44" s="97"/>
      <c r="J44" s="137" t="e">
        <f t="shared" si="2"/>
        <v>#DIV/0!</v>
      </c>
      <c r="K44" s="148"/>
      <c r="L44" s="88"/>
      <c r="M44" s="89" t="e">
        <f t="shared" si="4"/>
        <v>#DIV/0!</v>
      </c>
      <c r="N44" s="88"/>
      <c r="O44" s="88"/>
      <c r="P44" s="89" t="e">
        <f t="shared" si="21"/>
        <v>#DIV/0!</v>
      </c>
      <c r="Q44" s="200">
        <f>N44+K44+H44</f>
        <v>0</v>
      </c>
      <c r="R44" s="200"/>
      <c r="S44" s="200"/>
      <c r="T44" s="200"/>
      <c r="U44" s="200"/>
      <c r="V44" s="200"/>
      <c r="W44" s="421"/>
      <c r="X44" s="425"/>
      <c r="Y44" s="235"/>
      <c r="Z44" s="235"/>
      <c r="AA44" s="425"/>
      <c r="AB44" s="232">
        <f>+I44+L44+O44+S44+T44+U44+V44+W44+X44+Y44+Z44+AA44</f>
        <v>0</v>
      </c>
      <c r="AC44" s="443" t="e">
        <f t="shared" si="23"/>
        <v>#DIV/0!</v>
      </c>
      <c r="AD44" s="88"/>
      <c r="AE44" s="97"/>
      <c r="AF44" s="89" t="e">
        <f t="shared" si="5"/>
        <v>#DIV/0!</v>
      </c>
      <c r="AG44" s="88"/>
      <c r="AH44" s="97"/>
      <c r="AI44" s="89" t="e">
        <f t="shared" si="6"/>
        <v>#DIV/0!</v>
      </c>
      <c r="AJ44" s="88"/>
      <c r="AK44" s="97"/>
      <c r="AL44" s="89" t="e">
        <f t="shared" si="7"/>
        <v>#DIV/0!</v>
      </c>
      <c r="AM44" s="200">
        <f>AJ44+AG44+AD44</f>
        <v>0</v>
      </c>
      <c r="AN44" s="200">
        <f>AK44+AH44+AE44</f>
        <v>0</v>
      </c>
      <c r="AO44" s="204" t="e">
        <f t="shared" si="35"/>
        <v>#DIV/0!</v>
      </c>
      <c r="AP44" s="88"/>
      <c r="AQ44" s="97"/>
      <c r="AR44" s="98" t="e">
        <f t="shared" si="9"/>
        <v>#DIV/0!</v>
      </c>
      <c r="AS44" s="88"/>
      <c r="AT44" s="97"/>
      <c r="AU44" s="99" t="e">
        <f t="shared" si="10"/>
        <v>#DIV/0!</v>
      </c>
      <c r="AV44" s="86"/>
      <c r="AW44" s="86"/>
      <c r="AX44" s="100" t="e">
        <f t="shared" si="11"/>
        <v>#DIV/0!</v>
      </c>
      <c r="AY44" s="88">
        <f>AV44+AS44+AP44</f>
        <v>0</v>
      </c>
      <c r="AZ44" s="88">
        <f>AW44+AT44+AQ44</f>
        <v>0</v>
      </c>
      <c r="BA44" s="204" t="e">
        <f t="shared" si="36"/>
        <v>#DIV/0!</v>
      </c>
      <c r="BB44" s="88"/>
      <c r="BC44" s="88"/>
      <c r="BD44" s="100" t="e">
        <f t="shared" si="14"/>
        <v>#DIV/0!</v>
      </c>
      <c r="BE44" s="88"/>
      <c r="BF44" s="88"/>
      <c r="BG44" s="100" t="e">
        <f t="shared" si="15"/>
        <v>#DIV/0!</v>
      </c>
      <c r="BH44" s="88"/>
      <c r="BI44" s="97"/>
      <c r="BJ44" s="99" t="e">
        <f t="shared" si="16"/>
        <v>#DIV/0!</v>
      </c>
      <c r="BK44" s="200">
        <f>BH44+BE44+BB44</f>
        <v>0</v>
      </c>
      <c r="BL44" s="200">
        <f>BI44+BF44+BC44</f>
        <v>0</v>
      </c>
      <c r="BM44" s="204" t="e">
        <f t="shared" si="37"/>
        <v>#DIV/0!</v>
      </c>
      <c r="BN44" s="97">
        <f>I44+L44+O44+AE44+AH44+AK44+AQ44+AT44+AW44+BC44+BF44+BI44</f>
        <v>0</v>
      </c>
      <c r="BO44" s="134">
        <f t="shared" si="18"/>
        <v>0</v>
      </c>
      <c r="BP44" s="197">
        <f t="shared" si="1"/>
        <v>10000</v>
      </c>
      <c r="BQ44" s="78"/>
      <c r="BR44" s="78"/>
    </row>
    <row r="45" spans="1:68" s="78" customFormat="1" ht="13.5" thickBot="1">
      <c r="A45" s="102">
        <v>2</v>
      </c>
      <c r="B45" s="103">
        <v>1</v>
      </c>
      <c r="C45" s="103">
        <v>3</v>
      </c>
      <c r="D45" s="103">
        <v>2</v>
      </c>
      <c r="E45" s="206"/>
      <c r="F45" s="155" t="s">
        <v>224</v>
      </c>
      <c r="G45" s="82">
        <f>G46</f>
        <v>279000</v>
      </c>
      <c r="H45" s="82">
        <f>H46</f>
        <v>0</v>
      </c>
      <c r="I45" s="82">
        <f>I46</f>
        <v>22650</v>
      </c>
      <c r="J45" s="138"/>
      <c r="K45" s="82">
        <f>K46</f>
        <v>0</v>
      </c>
      <c r="L45" s="82">
        <f>L46</f>
        <v>22650</v>
      </c>
      <c r="M45" s="89"/>
      <c r="N45" s="82">
        <f aca="true" t="shared" si="45" ref="N45:V45">N46</f>
        <v>0</v>
      </c>
      <c r="O45" s="82">
        <f t="shared" si="45"/>
        <v>22650</v>
      </c>
      <c r="P45" s="82">
        <f t="shared" si="45"/>
        <v>0</v>
      </c>
      <c r="Q45" s="82">
        <f t="shared" si="45"/>
        <v>0</v>
      </c>
      <c r="R45" s="82">
        <f t="shared" si="45"/>
        <v>0</v>
      </c>
      <c r="S45" s="82">
        <f t="shared" si="45"/>
        <v>22650</v>
      </c>
      <c r="T45" s="82">
        <f t="shared" si="45"/>
        <v>22650</v>
      </c>
      <c r="U45" s="82">
        <f t="shared" si="45"/>
        <v>22650</v>
      </c>
      <c r="V45" s="82">
        <f t="shared" si="45"/>
        <v>22650</v>
      </c>
      <c r="W45" s="82">
        <f aca="true" t="shared" si="46" ref="W45:AB45">W46</f>
        <v>22650</v>
      </c>
      <c r="X45" s="82">
        <f t="shared" si="46"/>
        <v>22650</v>
      </c>
      <c r="Y45" s="82">
        <f t="shared" si="46"/>
        <v>0</v>
      </c>
      <c r="Z45" s="82">
        <f t="shared" si="46"/>
        <v>0</v>
      </c>
      <c r="AA45" s="82">
        <f t="shared" si="46"/>
        <v>0</v>
      </c>
      <c r="AB45" s="232">
        <f t="shared" si="46"/>
        <v>203850</v>
      </c>
      <c r="AC45" s="444"/>
      <c r="AD45" s="82">
        <f>AD46</f>
        <v>0</v>
      </c>
      <c r="AE45" s="82">
        <f>AE46</f>
        <v>0</v>
      </c>
      <c r="AF45" s="89"/>
      <c r="AG45" s="82">
        <f>AG46</f>
        <v>0</v>
      </c>
      <c r="AH45" s="82">
        <f>AH46</f>
        <v>0</v>
      </c>
      <c r="AI45" s="89"/>
      <c r="AJ45" s="82">
        <f>AJ46</f>
        <v>0</v>
      </c>
      <c r="AK45" s="82">
        <f>AK46</f>
        <v>0</v>
      </c>
      <c r="AL45" s="89"/>
      <c r="AM45" s="208">
        <f>AM46</f>
        <v>0</v>
      </c>
      <c r="AN45" s="208">
        <f>AN46</f>
        <v>0</v>
      </c>
      <c r="AO45" s="207"/>
      <c r="AP45" s="82">
        <f>AP46</f>
        <v>0</v>
      </c>
      <c r="AQ45" s="82">
        <f>AQ46</f>
        <v>0</v>
      </c>
      <c r="AR45" s="98"/>
      <c r="AS45" s="82">
        <f>AS46</f>
        <v>0</v>
      </c>
      <c r="AT45" s="82">
        <f>AT46</f>
        <v>0</v>
      </c>
      <c r="AU45" s="99"/>
      <c r="AV45" s="82">
        <f>AV46</f>
        <v>0</v>
      </c>
      <c r="AW45" s="82">
        <f>AW46</f>
        <v>0</v>
      </c>
      <c r="AX45" s="100"/>
      <c r="AY45" s="82">
        <f>AY46</f>
        <v>0</v>
      </c>
      <c r="AZ45" s="82">
        <f>AZ46</f>
        <v>0</v>
      </c>
      <c r="BA45" s="207"/>
      <c r="BB45" s="82">
        <f>BB46</f>
        <v>0</v>
      </c>
      <c r="BC45" s="82">
        <f>BC46</f>
        <v>0</v>
      </c>
      <c r="BD45" s="100"/>
      <c r="BE45" s="82">
        <f>BE46</f>
        <v>0</v>
      </c>
      <c r="BF45" s="82">
        <f>BF46</f>
        <v>0</v>
      </c>
      <c r="BG45" s="100"/>
      <c r="BH45" s="82">
        <f>BH46</f>
        <v>0</v>
      </c>
      <c r="BI45" s="82">
        <f>BI46</f>
        <v>0</v>
      </c>
      <c r="BJ45" s="99"/>
      <c r="BK45" s="82">
        <f>BK46</f>
        <v>0</v>
      </c>
      <c r="BL45" s="82">
        <f>BL46</f>
        <v>0</v>
      </c>
      <c r="BM45" s="207"/>
      <c r="BN45" s="82">
        <f>BN46</f>
        <v>67950</v>
      </c>
      <c r="BO45" s="134"/>
      <c r="BP45" s="197">
        <f>+G45-AB45</f>
        <v>75150</v>
      </c>
    </row>
    <row r="46" spans="1:68" s="147" customFormat="1" ht="13.5" thickBot="1">
      <c r="A46" s="83">
        <v>2</v>
      </c>
      <c r="B46" s="84">
        <v>1</v>
      </c>
      <c r="C46" s="84">
        <v>3</v>
      </c>
      <c r="D46" s="84">
        <v>2.01</v>
      </c>
      <c r="E46" s="85" t="s">
        <v>149</v>
      </c>
      <c r="F46" s="90" t="s">
        <v>214</v>
      </c>
      <c r="G46" s="88">
        <f>326000-13000-34000</f>
        <v>279000</v>
      </c>
      <c r="H46" s="88"/>
      <c r="I46" s="97">
        <v>22650</v>
      </c>
      <c r="J46" s="137"/>
      <c r="K46" s="148"/>
      <c r="L46" s="88">
        <v>22650</v>
      </c>
      <c r="M46" s="140"/>
      <c r="N46" s="88"/>
      <c r="O46" s="88">
        <v>22650</v>
      </c>
      <c r="P46" s="140"/>
      <c r="Q46" s="200"/>
      <c r="R46" s="200"/>
      <c r="S46" s="200">
        <v>22650</v>
      </c>
      <c r="T46" s="200">
        <v>22650</v>
      </c>
      <c r="U46" s="200">
        <v>22650</v>
      </c>
      <c r="V46" s="200">
        <v>22650</v>
      </c>
      <c r="W46" s="421">
        <v>22650</v>
      </c>
      <c r="X46" s="425">
        <v>22650</v>
      </c>
      <c r="Y46" s="235">
        <v>0</v>
      </c>
      <c r="Z46" s="235">
        <v>0</v>
      </c>
      <c r="AA46" s="425">
        <v>0</v>
      </c>
      <c r="AB46" s="238">
        <f>+I46+L46+O46+S46+T46+U46+V46+W46+X46+Y46+Z46+AA46</f>
        <v>203850</v>
      </c>
      <c r="AC46" s="443"/>
      <c r="AD46" s="88"/>
      <c r="AE46" s="97"/>
      <c r="AF46" s="140"/>
      <c r="AG46" s="88"/>
      <c r="AH46" s="97"/>
      <c r="AI46" s="140"/>
      <c r="AJ46" s="88"/>
      <c r="AK46" s="97"/>
      <c r="AL46" s="140"/>
      <c r="AM46" s="200"/>
      <c r="AN46" s="200">
        <f>AK46+AH46+AE46</f>
        <v>0</v>
      </c>
      <c r="AO46" s="204"/>
      <c r="AP46" s="88"/>
      <c r="AQ46" s="97"/>
      <c r="AR46" s="141"/>
      <c r="AS46" s="88"/>
      <c r="AT46" s="97"/>
      <c r="AU46" s="142"/>
      <c r="AV46" s="86"/>
      <c r="AW46" s="86"/>
      <c r="AX46" s="143"/>
      <c r="AY46" s="88"/>
      <c r="AZ46" s="88"/>
      <c r="BA46" s="200">
        <f>AX46+AU46+AR46</f>
        <v>0</v>
      </c>
      <c r="BB46" s="88"/>
      <c r="BC46" s="88"/>
      <c r="BD46" s="143"/>
      <c r="BE46" s="88"/>
      <c r="BF46" s="88"/>
      <c r="BG46" s="143"/>
      <c r="BH46" s="88"/>
      <c r="BI46" s="97"/>
      <c r="BJ46" s="142"/>
      <c r="BK46" s="200"/>
      <c r="BL46" s="200">
        <f>BI46+BF46+BC46</f>
        <v>0</v>
      </c>
      <c r="BM46" s="204"/>
      <c r="BN46" s="97">
        <f>I46+L46+O46+AE46+AH46+AK46+AQ46+AT46+AW46+BC46+BF46+BI46</f>
        <v>67950</v>
      </c>
      <c r="BO46" s="146"/>
      <c r="BP46" s="197">
        <f t="shared" si="1"/>
        <v>75150</v>
      </c>
    </row>
    <row r="47" spans="1:68" s="147" customFormat="1" ht="13.5" thickBot="1">
      <c r="A47" s="83"/>
      <c r="B47" s="84"/>
      <c r="C47" s="84"/>
      <c r="D47" s="84"/>
      <c r="E47" s="85"/>
      <c r="F47" s="90"/>
      <c r="G47" s="88"/>
      <c r="H47" s="88"/>
      <c r="I47" s="97"/>
      <c r="J47" s="137"/>
      <c r="K47" s="148"/>
      <c r="L47" s="88"/>
      <c r="M47" s="140"/>
      <c r="N47" s="88"/>
      <c r="O47" s="88"/>
      <c r="P47" s="435"/>
      <c r="Q47" s="200"/>
      <c r="R47" s="200"/>
      <c r="S47" s="200"/>
      <c r="T47" s="200"/>
      <c r="U47" s="200"/>
      <c r="V47" s="200"/>
      <c r="W47" s="421"/>
      <c r="X47" s="433"/>
      <c r="Y47" s="235"/>
      <c r="Z47" s="235"/>
      <c r="AA47" s="425"/>
      <c r="AB47" s="232"/>
      <c r="AC47" s="443"/>
      <c r="AD47" s="88"/>
      <c r="AE47" s="97"/>
      <c r="AF47" s="140"/>
      <c r="AG47" s="88"/>
      <c r="AH47" s="97"/>
      <c r="AI47" s="140"/>
      <c r="AJ47" s="88"/>
      <c r="AK47" s="97"/>
      <c r="AL47" s="140"/>
      <c r="AM47" s="200"/>
      <c r="AN47" s="200"/>
      <c r="AO47" s="204"/>
      <c r="AP47" s="88"/>
      <c r="AQ47" s="97"/>
      <c r="AR47" s="141"/>
      <c r="AS47" s="88"/>
      <c r="AT47" s="97"/>
      <c r="AU47" s="142"/>
      <c r="AV47" s="86"/>
      <c r="AW47" s="86"/>
      <c r="AX47" s="143"/>
      <c r="AY47" s="88"/>
      <c r="AZ47" s="88"/>
      <c r="BA47" s="200"/>
      <c r="BB47" s="88"/>
      <c r="BC47" s="88"/>
      <c r="BD47" s="143"/>
      <c r="BE47" s="88"/>
      <c r="BF47" s="88"/>
      <c r="BG47" s="143"/>
      <c r="BH47" s="88"/>
      <c r="BI47" s="97"/>
      <c r="BJ47" s="142"/>
      <c r="BK47" s="200"/>
      <c r="BL47" s="200"/>
      <c r="BM47" s="204"/>
      <c r="BN47" s="97"/>
      <c r="BO47" s="146"/>
      <c r="BP47" s="197">
        <f t="shared" si="1"/>
        <v>0</v>
      </c>
    </row>
    <row r="48" spans="1:68" s="147" customFormat="1" ht="22.5" thickBot="1">
      <c r="A48" s="102">
        <v>2</v>
      </c>
      <c r="B48" s="103">
        <v>1</v>
      </c>
      <c r="C48" s="103">
        <v>4</v>
      </c>
      <c r="D48" s="103"/>
      <c r="E48" s="206"/>
      <c r="F48" s="155" t="s">
        <v>240</v>
      </c>
      <c r="G48" s="82">
        <f>G49+G50</f>
        <v>100000</v>
      </c>
      <c r="H48" s="82">
        <f aca="true" t="shared" si="47" ref="H48:S48">H49+H50</f>
        <v>0</v>
      </c>
      <c r="I48" s="82">
        <f t="shared" si="47"/>
        <v>0</v>
      </c>
      <c r="J48" s="82">
        <f t="shared" si="47"/>
        <v>0</v>
      </c>
      <c r="K48" s="82">
        <f t="shared" si="47"/>
        <v>0</v>
      </c>
      <c r="L48" s="82">
        <f t="shared" si="47"/>
        <v>0</v>
      </c>
      <c r="M48" s="82">
        <f t="shared" si="47"/>
        <v>0</v>
      </c>
      <c r="N48" s="82">
        <f t="shared" si="47"/>
        <v>0</v>
      </c>
      <c r="O48" s="82">
        <f t="shared" si="47"/>
        <v>0</v>
      </c>
      <c r="P48" s="82">
        <f t="shared" si="47"/>
        <v>0</v>
      </c>
      <c r="Q48" s="82">
        <f t="shared" si="47"/>
        <v>0</v>
      </c>
      <c r="R48" s="82">
        <f t="shared" si="47"/>
        <v>0</v>
      </c>
      <c r="S48" s="82">
        <f t="shared" si="47"/>
        <v>0</v>
      </c>
      <c r="T48" s="82">
        <f>T49+T50</f>
        <v>0</v>
      </c>
      <c r="U48" s="82">
        <f>U49+U50</f>
        <v>0</v>
      </c>
      <c r="V48" s="82">
        <f>V49+V50</f>
        <v>0</v>
      </c>
      <c r="W48" s="82">
        <f>W49+W50</f>
        <v>0</v>
      </c>
      <c r="X48" s="433"/>
      <c r="Y48" s="235"/>
      <c r="Z48" s="235"/>
      <c r="AA48" s="425"/>
      <c r="AB48" s="232">
        <f>AB49+AB50</f>
        <v>0</v>
      </c>
      <c r="AC48" s="443"/>
      <c r="AD48" s="88"/>
      <c r="AE48" s="97"/>
      <c r="AF48" s="140"/>
      <c r="AG48" s="88"/>
      <c r="AH48" s="97"/>
      <c r="AI48" s="140"/>
      <c r="AJ48" s="88"/>
      <c r="AK48" s="97"/>
      <c r="AL48" s="140"/>
      <c r="AM48" s="200"/>
      <c r="AN48" s="200"/>
      <c r="AO48" s="204"/>
      <c r="AP48" s="88"/>
      <c r="AQ48" s="97"/>
      <c r="AR48" s="141"/>
      <c r="AS48" s="88"/>
      <c r="AT48" s="97"/>
      <c r="AU48" s="142"/>
      <c r="AV48" s="86"/>
      <c r="AW48" s="86"/>
      <c r="AX48" s="143"/>
      <c r="AY48" s="88"/>
      <c r="AZ48" s="88"/>
      <c r="BA48" s="200"/>
      <c r="BB48" s="88"/>
      <c r="BC48" s="88"/>
      <c r="BD48" s="143"/>
      <c r="BE48" s="88"/>
      <c r="BF48" s="88"/>
      <c r="BG48" s="143"/>
      <c r="BH48" s="88"/>
      <c r="BI48" s="97"/>
      <c r="BJ48" s="142"/>
      <c r="BK48" s="200"/>
      <c r="BL48" s="200"/>
      <c r="BM48" s="204"/>
      <c r="BN48" s="97"/>
      <c r="BO48" s="146"/>
      <c r="BP48" s="197">
        <f t="shared" si="1"/>
        <v>100000</v>
      </c>
    </row>
    <row r="49" spans="1:68" s="147" customFormat="1" ht="13.5" thickBot="1">
      <c r="A49" s="102">
        <v>2</v>
      </c>
      <c r="B49" s="103">
        <v>1</v>
      </c>
      <c r="C49" s="103">
        <v>4</v>
      </c>
      <c r="D49" s="103">
        <v>1</v>
      </c>
      <c r="E49" s="206"/>
      <c r="F49" s="155" t="s">
        <v>241</v>
      </c>
      <c r="G49" s="88"/>
      <c r="H49" s="88"/>
      <c r="I49" s="97"/>
      <c r="J49" s="137"/>
      <c r="K49" s="148"/>
      <c r="L49" s="88"/>
      <c r="M49" s="140"/>
      <c r="N49" s="88"/>
      <c r="O49" s="88"/>
      <c r="P49" s="435"/>
      <c r="Q49" s="200"/>
      <c r="R49" s="200"/>
      <c r="S49" s="200"/>
      <c r="T49" s="200"/>
      <c r="U49" s="200"/>
      <c r="V49" s="200"/>
      <c r="W49" s="421"/>
      <c r="X49" s="433"/>
      <c r="Y49" s="235"/>
      <c r="Z49" s="235"/>
      <c r="AA49" s="425"/>
      <c r="AB49" s="232">
        <f>I49+L49+O49+S49+T49+U49+V49+W49+X49+Y49+Z49+AA49</f>
        <v>0</v>
      </c>
      <c r="AC49" s="443"/>
      <c r="AD49" s="88"/>
      <c r="AE49" s="97"/>
      <c r="AF49" s="140"/>
      <c r="AG49" s="88"/>
      <c r="AH49" s="97"/>
      <c r="AI49" s="140"/>
      <c r="AJ49" s="88"/>
      <c r="AK49" s="97"/>
      <c r="AL49" s="140"/>
      <c r="AM49" s="200"/>
      <c r="AN49" s="200"/>
      <c r="AO49" s="204"/>
      <c r="AP49" s="88"/>
      <c r="AQ49" s="97"/>
      <c r="AR49" s="141"/>
      <c r="AS49" s="88"/>
      <c r="AT49" s="97"/>
      <c r="AU49" s="142"/>
      <c r="AV49" s="86"/>
      <c r="AW49" s="86"/>
      <c r="AX49" s="143"/>
      <c r="AY49" s="88"/>
      <c r="AZ49" s="88"/>
      <c r="BA49" s="200"/>
      <c r="BB49" s="88"/>
      <c r="BC49" s="88"/>
      <c r="BD49" s="143"/>
      <c r="BE49" s="88"/>
      <c r="BF49" s="88"/>
      <c r="BG49" s="143"/>
      <c r="BH49" s="88"/>
      <c r="BI49" s="97"/>
      <c r="BJ49" s="142"/>
      <c r="BK49" s="200"/>
      <c r="BL49" s="200"/>
      <c r="BM49" s="204"/>
      <c r="BN49" s="97"/>
      <c r="BO49" s="146"/>
      <c r="BP49" s="197">
        <f t="shared" si="1"/>
        <v>0</v>
      </c>
    </row>
    <row r="50" spans="1:68" s="147" customFormat="1" ht="13.5" thickBot="1">
      <c r="A50" s="102">
        <v>2</v>
      </c>
      <c r="B50" s="103">
        <v>1</v>
      </c>
      <c r="C50" s="103">
        <v>4</v>
      </c>
      <c r="D50" s="103">
        <v>2</v>
      </c>
      <c r="E50" s="206"/>
      <c r="F50" s="155" t="s">
        <v>242</v>
      </c>
      <c r="G50" s="82">
        <f>+G51</f>
        <v>100000</v>
      </c>
      <c r="H50" s="82">
        <f aca="true" t="shared" si="48" ref="H50:W50">+H51</f>
        <v>0</v>
      </c>
      <c r="I50" s="82">
        <f t="shared" si="48"/>
        <v>0</v>
      </c>
      <c r="J50" s="82">
        <f t="shared" si="48"/>
        <v>0</v>
      </c>
      <c r="K50" s="82">
        <f t="shared" si="48"/>
        <v>0</v>
      </c>
      <c r="L50" s="82">
        <f t="shared" si="48"/>
        <v>0</v>
      </c>
      <c r="M50" s="82">
        <f t="shared" si="48"/>
        <v>0</v>
      </c>
      <c r="N50" s="82">
        <f t="shared" si="48"/>
        <v>0</v>
      </c>
      <c r="O50" s="82">
        <f t="shared" si="48"/>
        <v>0</v>
      </c>
      <c r="P50" s="82">
        <f t="shared" si="48"/>
        <v>0</v>
      </c>
      <c r="Q50" s="82">
        <f t="shared" si="48"/>
        <v>0</v>
      </c>
      <c r="R50" s="82">
        <f t="shared" si="48"/>
        <v>0</v>
      </c>
      <c r="S50" s="82">
        <f t="shared" si="48"/>
        <v>0</v>
      </c>
      <c r="T50" s="82">
        <f t="shared" si="48"/>
        <v>0</v>
      </c>
      <c r="U50" s="82">
        <f t="shared" si="48"/>
        <v>0</v>
      </c>
      <c r="V50" s="82">
        <f t="shared" si="48"/>
        <v>0</v>
      </c>
      <c r="W50" s="82">
        <f t="shared" si="48"/>
        <v>0</v>
      </c>
      <c r="X50" s="433"/>
      <c r="Y50" s="235"/>
      <c r="Z50" s="235"/>
      <c r="AA50" s="425"/>
      <c r="AB50" s="232">
        <f>AB51</f>
        <v>0</v>
      </c>
      <c r="AC50" s="443"/>
      <c r="AD50" s="88"/>
      <c r="AE50" s="97"/>
      <c r="AF50" s="140"/>
      <c r="AG50" s="88"/>
      <c r="AH50" s="97"/>
      <c r="AI50" s="140"/>
      <c r="AJ50" s="88"/>
      <c r="AK50" s="97"/>
      <c r="AL50" s="140"/>
      <c r="AM50" s="200"/>
      <c r="AN50" s="200"/>
      <c r="AO50" s="204"/>
      <c r="AP50" s="88"/>
      <c r="AQ50" s="97"/>
      <c r="AR50" s="141"/>
      <c r="AS50" s="88"/>
      <c r="AT50" s="97"/>
      <c r="AU50" s="142"/>
      <c r="AV50" s="86"/>
      <c r="AW50" s="86"/>
      <c r="AX50" s="143"/>
      <c r="AY50" s="88"/>
      <c r="AZ50" s="88"/>
      <c r="BA50" s="200"/>
      <c r="BB50" s="88"/>
      <c r="BC50" s="88"/>
      <c r="BD50" s="143"/>
      <c r="BE50" s="88"/>
      <c r="BF50" s="88"/>
      <c r="BG50" s="143"/>
      <c r="BH50" s="88"/>
      <c r="BI50" s="97"/>
      <c r="BJ50" s="142"/>
      <c r="BK50" s="200"/>
      <c r="BL50" s="200"/>
      <c r="BM50" s="204"/>
      <c r="BN50" s="97"/>
      <c r="BO50" s="146"/>
      <c r="BP50" s="197">
        <f t="shared" si="1"/>
        <v>100000</v>
      </c>
    </row>
    <row r="51" spans="1:68" s="147" customFormat="1" ht="13.5" thickBot="1">
      <c r="A51" s="83">
        <v>2</v>
      </c>
      <c r="B51" s="84">
        <v>1</v>
      </c>
      <c r="C51" s="84">
        <v>4</v>
      </c>
      <c r="D51" s="84">
        <v>2</v>
      </c>
      <c r="E51" s="85" t="s">
        <v>149</v>
      </c>
      <c r="F51" s="90" t="s">
        <v>243</v>
      </c>
      <c r="G51" s="88">
        <f>75000-12000+37000</f>
        <v>100000</v>
      </c>
      <c r="H51" s="88"/>
      <c r="I51" s="97"/>
      <c r="J51" s="137"/>
      <c r="K51" s="148"/>
      <c r="L51" s="88"/>
      <c r="M51" s="140"/>
      <c r="N51" s="88"/>
      <c r="O51" s="88"/>
      <c r="P51" s="435"/>
      <c r="Q51" s="200"/>
      <c r="R51" s="200"/>
      <c r="S51" s="200"/>
      <c r="T51" s="200"/>
      <c r="U51" s="200"/>
      <c r="V51" s="200"/>
      <c r="W51" s="421"/>
      <c r="X51" s="433"/>
      <c r="Y51" s="235"/>
      <c r="Z51" s="235"/>
      <c r="AA51" s="425"/>
      <c r="AB51" s="232">
        <f>I51+L51+O51+S51+T51+U51+V51+W51+X51+Y51+Z51+AA51</f>
        <v>0</v>
      </c>
      <c r="AC51" s="443"/>
      <c r="AD51" s="88"/>
      <c r="AE51" s="97"/>
      <c r="AF51" s="140"/>
      <c r="AG51" s="88"/>
      <c r="AH51" s="97"/>
      <c r="AI51" s="140"/>
      <c r="AJ51" s="88"/>
      <c r="AK51" s="97"/>
      <c r="AL51" s="140"/>
      <c r="AM51" s="200"/>
      <c r="AN51" s="200"/>
      <c r="AO51" s="204"/>
      <c r="AP51" s="88"/>
      <c r="AQ51" s="97"/>
      <c r="AR51" s="141"/>
      <c r="AS51" s="88"/>
      <c r="AT51" s="97"/>
      <c r="AU51" s="142"/>
      <c r="AV51" s="86"/>
      <c r="AW51" s="86"/>
      <c r="AX51" s="143"/>
      <c r="AY51" s="88"/>
      <c r="AZ51" s="88"/>
      <c r="BA51" s="200"/>
      <c r="BB51" s="88"/>
      <c r="BC51" s="88"/>
      <c r="BD51" s="143"/>
      <c r="BE51" s="88"/>
      <c r="BF51" s="88"/>
      <c r="BG51" s="143"/>
      <c r="BH51" s="88"/>
      <c r="BI51" s="97"/>
      <c r="BJ51" s="142"/>
      <c r="BK51" s="200"/>
      <c r="BL51" s="200"/>
      <c r="BM51" s="204"/>
      <c r="BN51" s="97"/>
      <c r="BO51" s="146"/>
      <c r="BP51" s="197">
        <f t="shared" si="1"/>
        <v>100000</v>
      </c>
    </row>
    <row r="52" spans="1:68" s="76" customFormat="1" ht="22.5" thickBot="1">
      <c r="A52" s="102">
        <v>2</v>
      </c>
      <c r="B52" s="103">
        <v>1</v>
      </c>
      <c r="C52" s="103">
        <v>5</v>
      </c>
      <c r="D52" s="84"/>
      <c r="E52" s="104"/>
      <c r="F52" s="155" t="s">
        <v>26</v>
      </c>
      <c r="G52" s="82">
        <f>G53+G54+G55</f>
        <v>3655000</v>
      </c>
      <c r="H52" s="82">
        <f>H53+H54+H55</f>
        <v>0</v>
      </c>
      <c r="I52" s="131">
        <f>I53+I54+I55</f>
        <v>206122.8</v>
      </c>
      <c r="J52" s="138" t="e">
        <f t="shared" si="2"/>
        <v>#DIV/0!</v>
      </c>
      <c r="K52" s="203">
        <f>K53+K54+K55</f>
        <v>0</v>
      </c>
      <c r="L52" s="82">
        <f>L53+L54+L55</f>
        <v>206122.8</v>
      </c>
      <c r="M52" s="89" t="e">
        <f t="shared" si="4"/>
        <v>#DIV/0!</v>
      </c>
      <c r="N52" s="82">
        <f aca="true" t="shared" si="49" ref="N52:AA52">N53+N54+N55</f>
        <v>0</v>
      </c>
      <c r="O52" s="82">
        <f t="shared" si="49"/>
        <v>255401.05999999997</v>
      </c>
      <c r="P52" s="82" t="e">
        <f t="shared" si="49"/>
        <v>#DIV/0!</v>
      </c>
      <c r="Q52" s="82">
        <f t="shared" si="49"/>
        <v>0</v>
      </c>
      <c r="R52" s="82">
        <f t="shared" si="49"/>
        <v>0</v>
      </c>
      <c r="S52" s="82">
        <f t="shared" si="49"/>
        <v>250324.64999999997</v>
      </c>
      <c r="T52" s="82">
        <f t="shared" si="49"/>
        <v>259816.51</v>
      </c>
      <c r="U52" s="82">
        <f t="shared" si="49"/>
        <v>302111.52</v>
      </c>
      <c r="V52" s="82">
        <f t="shared" si="49"/>
        <v>304625.19999999995</v>
      </c>
      <c r="W52" s="82">
        <f>W53+W54+W55</f>
        <v>304625.19999999995</v>
      </c>
      <c r="X52" s="131">
        <f t="shared" si="49"/>
        <v>304625.19999999995</v>
      </c>
      <c r="Y52" s="232">
        <f t="shared" si="49"/>
        <v>0</v>
      </c>
      <c r="Z52" s="232">
        <f t="shared" si="49"/>
        <v>0</v>
      </c>
      <c r="AA52" s="426">
        <f t="shared" si="49"/>
        <v>0</v>
      </c>
      <c r="AB52" s="232">
        <f>+AB53+AB54+AB55</f>
        <v>2393774.9400000004</v>
      </c>
      <c r="AC52" s="443" t="e">
        <f t="shared" si="23"/>
        <v>#DIV/0!</v>
      </c>
      <c r="AD52" s="82">
        <f>AD53+AD54+AD55</f>
        <v>0</v>
      </c>
      <c r="AE52" s="131">
        <f>AE53+AE54+AE55</f>
        <v>0</v>
      </c>
      <c r="AF52" s="89" t="e">
        <f t="shared" si="5"/>
        <v>#DIV/0!</v>
      </c>
      <c r="AG52" s="82">
        <f>AG53+AG54+AG55</f>
        <v>0</v>
      </c>
      <c r="AH52" s="131">
        <f>AH53+AH54+AH55</f>
        <v>0</v>
      </c>
      <c r="AI52" s="89" t="e">
        <f t="shared" si="6"/>
        <v>#DIV/0!</v>
      </c>
      <c r="AJ52" s="82">
        <f>AJ53+AJ54+AJ55</f>
        <v>0</v>
      </c>
      <c r="AK52" s="131">
        <f>AK53+AK54+AK55</f>
        <v>0</v>
      </c>
      <c r="AL52" s="89" t="e">
        <f t="shared" si="7"/>
        <v>#DIV/0!</v>
      </c>
      <c r="AM52" s="82">
        <f>AM53+AM54+AM55</f>
        <v>0</v>
      </c>
      <c r="AN52" s="82">
        <f>AN53+AN54+AN55</f>
        <v>0</v>
      </c>
      <c r="AO52" s="204" t="e">
        <f>AN52/AM52</f>
        <v>#DIV/0!</v>
      </c>
      <c r="AP52" s="82">
        <f>AP53+AP54+AP55</f>
        <v>0</v>
      </c>
      <c r="AQ52" s="131">
        <f>AQ53+AQ54+AQ55</f>
        <v>0</v>
      </c>
      <c r="AR52" s="98" t="e">
        <f t="shared" si="9"/>
        <v>#DIV/0!</v>
      </c>
      <c r="AS52" s="82">
        <f>AS53+AS54+AS55</f>
        <v>0</v>
      </c>
      <c r="AT52" s="131">
        <f>AT53+AT54+AT55</f>
        <v>0</v>
      </c>
      <c r="AU52" s="99" t="e">
        <f t="shared" si="10"/>
        <v>#DIV/0!</v>
      </c>
      <c r="AV52" s="82">
        <f>AV53+AV54+AV55</f>
        <v>0</v>
      </c>
      <c r="AW52" s="82">
        <f>AW53+AW54+AW55</f>
        <v>0</v>
      </c>
      <c r="AX52" s="100" t="e">
        <f t="shared" si="11"/>
        <v>#DIV/0!</v>
      </c>
      <c r="AY52" s="82">
        <f>AY53+AY54+AY55</f>
        <v>0</v>
      </c>
      <c r="AZ52" s="82">
        <f>AZ53+AZ54+AZ55</f>
        <v>0</v>
      </c>
      <c r="BA52" s="204" t="e">
        <f>AZ52/AY52</f>
        <v>#DIV/0!</v>
      </c>
      <c r="BB52" s="82"/>
      <c r="BC52" s="82"/>
      <c r="BD52" s="100" t="e">
        <f t="shared" si="14"/>
        <v>#DIV/0!</v>
      </c>
      <c r="BE52" s="82"/>
      <c r="BF52" s="82"/>
      <c r="BG52" s="100" t="e">
        <f t="shared" si="15"/>
        <v>#DIV/0!</v>
      </c>
      <c r="BH52" s="82">
        <f>BH53+BH54+BH55</f>
        <v>0</v>
      </c>
      <c r="BI52" s="131">
        <f>BI53+BI54+BI55</f>
        <v>0</v>
      </c>
      <c r="BJ52" s="99" t="e">
        <f t="shared" si="16"/>
        <v>#DIV/0!</v>
      </c>
      <c r="BK52" s="82">
        <f>BK53+BK54+BK55</f>
        <v>0</v>
      </c>
      <c r="BL52" s="82">
        <f>BL53+BL54+BL55</f>
        <v>0</v>
      </c>
      <c r="BM52" s="204" t="e">
        <f>BL52/BK52</f>
        <v>#DIV/0!</v>
      </c>
      <c r="BN52" s="131">
        <f>BN53+BN54+BN55</f>
        <v>667646.66</v>
      </c>
      <c r="BO52" s="134">
        <f t="shared" si="18"/>
        <v>0.18266666484268126</v>
      </c>
      <c r="BP52" s="197">
        <f t="shared" si="1"/>
        <v>1261225.0599999996</v>
      </c>
    </row>
    <row r="53" spans="1:68" ht="13.5" thickBot="1">
      <c r="A53" s="102">
        <v>2</v>
      </c>
      <c r="B53" s="103">
        <v>1</v>
      </c>
      <c r="C53" s="103">
        <v>5</v>
      </c>
      <c r="D53" s="103">
        <v>1</v>
      </c>
      <c r="E53" s="202">
        <v>1</v>
      </c>
      <c r="F53" s="155" t="s">
        <v>11</v>
      </c>
      <c r="G53" s="82">
        <f>1600000+20000+20000+21000+45000</f>
        <v>1706000</v>
      </c>
      <c r="H53" s="82"/>
      <c r="I53" s="131">
        <v>96199.91</v>
      </c>
      <c r="J53" s="138" t="e">
        <f t="shared" si="2"/>
        <v>#DIV/0!</v>
      </c>
      <c r="K53" s="203"/>
      <c r="L53" s="82">
        <v>96199.91</v>
      </c>
      <c r="M53" s="89" t="e">
        <f t="shared" si="4"/>
        <v>#DIV/0!</v>
      </c>
      <c r="N53" s="82"/>
      <c r="O53" s="82">
        <v>119611.81</v>
      </c>
      <c r="P53" s="89" t="e">
        <f t="shared" si="21"/>
        <v>#DIV/0!</v>
      </c>
      <c r="Q53" s="200">
        <f>N53+K53+H53</f>
        <v>0</v>
      </c>
      <c r="R53" s="200"/>
      <c r="S53" s="200">
        <f>48035.04+20505.35+11561.31+30109.82+6987.2</f>
        <v>117198.71999999999</v>
      </c>
      <c r="T53" s="200">
        <f>115709.32+7233.65</f>
        <v>122942.97</v>
      </c>
      <c r="U53" s="200">
        <v>137673.5</v>
      </c>
      <c r="V53" s="200">
        <v>138839.1</v>
      </c>
      <c r="W53" s="421">
        <f>129099.57+9739.53</f>
        <v>138839.1</v>
      </c>
      <c r="X53" s="425">
        <f>129099.57+9739.53</f>
        <v>138839.1</v>
      </c>
      <c r="Y53" s="235">
        <v>0</v>
      </c>
      <c r="Z53" s="235">
        <v>0</v>
      </c>
      <c r="AA53" s="425">
        <v>0</v>
      </c>
      <c r="AB53" s="238">
        <f>+I53+L53+O53+S53+T53+U53+V53+W53+X53+Y53+Z53+AA53</f>
        <v>1106344.1199999999</v>
      </c>
      <c r="AC53" s="443" t="e">
        <f t="shared" si="23"/>
        <v>#DIV/0!</v>
      </c>
      <c r="AD53" s="82"/>
      <c r="AE53" s="131"/>
      <c r="AF53" s="89" t="e">
        <f t="shared" si="5"/>
        <v>#DIV/0!</v>
      </c>
      <c r="AG53" s="82"/>
      <c r="AH53" s="131"/>
      <c r="AI53" s="89" t="e">
        <f t="shared" si="6"/>
        <v>#DIV/0!</v>
      </c>
      <c r="AJ53" s="82"/>
      <c r="AK53" s="131"/>
      <c r="AL53" s="89" t="e">
        <f t="shared" si="7"/>
        <v>#DIV/0!</v>
      </c>
      <c r="AM53" s="200">
        <f aca="true" t="shared" si="50" ref="AM53:AN55">AJ53+AG53+AD53</f>
        <v>0</v>
      </c>
      <c r="AN53" s="200">
        <f t="shared" si="50"/>
        <v>0</v>
      </c>
      <c r="AO53" s="204" t="e">
        <f>AN53/AM53</f>
        <v>#DIV/0!</v>
      </c>
      <c r="AP53" s="82"/>
      <c r="AQ53" s="131"/>
      <c r="AR53" s="98" t="e">
        <f t="shared" si="9"/>
        <v>#DIV/0!</v>
      </c>
      <c r="AS53" s="82"/>
      <c r="AT53" s="131"/>
      <c r="AU53" s="99" t="e">
        <f t="shared" si="10"/>
        <v>#DIV/0!</v>
      </c>
      <c r="AV53" s="87"/>
      <c r="AW53" s="87"/>
      <c r="AX53" s="100" t="e">
        <f t="shared" si="11"/>
        <v>#DIV/0!</v>
      </c>
      <c r="AY53" s="88">
        <f aca="true" t="shared" si="51" ref="AY53:AZ55">AV53+AS53+AP53</f>
        <v>0</v>
      </c>
      <c r="AZ53" s="88">
        <f t="shared" si="51"/>
        <v>0</v>
      </c>
      <c r="BA53" s="204" t="e">
        <f>AZ53/AY53</f>
        <v>#DIV/0!</v>
      </c>
      <c r="BB53" s="82"/>
      <c r="BC53" s="82"/>
      <c r="BD53" s="100" t="e">
        <f t="shared" si="14"/>
        <v>#DIV/0!</v>
      </c>
      <c r="BE53" s="82"/>
      <c r="BF53" s="82"/>
      <c r="BG53" s="100" t="e">
        <f t="shared" si="15"/>
        <v>#DIV/0!</v>
      </c>
      <c r="BH53" s="82"/>
      <c r="BI53" s="131"/>
      <c r="BJ53" s="99" t="e">
        <f t="shared" si="16"/>
        <v>#DIV/0!</v>
      </c>
      <c r="BK53" s="200">
        <f aca="true" t="shared" si="52" ref="BK53:BL55">BH53+BE53+BB53</f>
        <v>0</v>
      </c>
      <c r="BL53" s="200">
        <f t="shared" si="52"/>
        <v>0</v>
      </c>
      <c r="BM53" s="204" t="e">
        <f>BL53/BK53</f>
        <v>#DIV/0!</v>
      </c>
      <c r="BN53" s="97">
        <f>I53+L53+O53+AE53+AH53+AK53+AQ53+AT53+AW53+BC53+BF53+BI53</f>
        <v>312011.63</v>
      </c>
      <c r="BO53" s="134">
        <f t="shared" si="18"/>
        <v>0.18289075615474795</v>
      </c>
      <c r="BP53" s="197">
        <f t="shared" si="1"/>
        <v>599655.8800000001</v>
      </c>
    </row>
    <row r="54" spans="1:68" ht="13.5" thickBot="1">
      <c r="A54" s="102">
        <v>2</v>
      </c>
      <c r="B54" s="103">
        <v>1</v>
      </c>
      <c r="C54" s="103">
        <v>5</v>
      </c>
      <c r="D54" s="103">
        <v>2</v>
      </c>
      <c r="E54" s="202"/>
      <c r="F54" s="155" t="s">
        <v>27</v>
      </c>
      <c r="G54" s="82">
        <f>1600000+56000+35000+30000+75000</f>
        <v>1796000</v>
      </c>
      <c r="H54" s="82"/>
      <c r="I54" s="131">
        <v>101787.2</v>
      </c>
      <c r="J54" s="138" t="e">
        <f t="shared" si="2"/>
        <v>#DIV/0!</v>
      </c>
      <c r="K54" s="203"/>
      <c r="L54" s="82">
        <v>101787.2</v>
      </c>
      <c r="M54" s="89" t="e">
        <f t="shared" si="4"/>
        <v>#DIV/0!</v>
      </c>
      <c r="N54" s="82"/>
      <c r="O54" s="82">
        <v>125972.54</v>
      </c>
      <c r="P54" s="89" t="e">
        <f t="shared" si="21"/>
        <v>#DIV/0!</v>
      </c>
      <c r="Q54" s="200">
        <f>N54+K54+H54</f>
        <v>0</v>
      </c>
      <c r="R54" s="200"/>
      <c r="S54" s="200">
        <f>52320.35+21027.89+11824.43+30892.72+7243.83</f>
        <v>123309.21999999999</v>
      </c>
      <c r="T54" s="200">
        <f>118686.36+7243.86</f>
        <v>125930.22</v>
      </c>
      <c r="U54" s="200">
        <v>153284.38</v>
      </c>
      <c r="V54" s="200">
        <v>154451.62</v>
      </c>
      <c r="W54" s="421">
        <f>143237.09+11214.53</f>
        <v>154451.62</v>
      </c>
      <c r="X54" s="425">
        <f>143237.09+11214.53</f>
        <v>154451.62</v>
      </c>
      <c r="Y54" s="235">
        <v>0</v>
      </c>
      <c r="Z54" s="235">
        <v>0</v>
      </c>
      <c r="AA54" s="425">
        <v>0</v>
      </c>
      <c r="AB54" s="238">
        <f>+I54+L54+O54+S54+T54+U54+V54+W54+X54+Y54+Z54+AA54</f>
        <v>1195425.62</v>
      </c>
      <c r="AC54" s="443" t="e">
        <f t="shared" si="23"/>
        <v>#DIV/0!</v>
      </c>
      <c r="AD54" s="82"/>
      <c r="AE54" s="131"/>
      <c r="AF54" s="89" t="e">
        <f t="shared" si="5"/>
        <v>#DIV/0!</v>
      </c>
      <c r="AG54" s="82"/>
      <c r="AH54" s="131"/>
      <c r="AI54" s="89" t="e">
        <f t="shared" si="6"/>
        <v>#DIV/0!</v>
      </c>
      <c r="AJ54" s="82"/>
      <c r="AK54" s="131"/>
      <c r="AL54" s="89" t="e">
        <f t="shared" si="7"/>
        <v>#DIV/0!</v>
      </c>
      <c r="AM54" s="200">
        <f t="shared" si="50"/>
        <v>0</v>
      </c>
      <c r="AN54" s="200">
        <f t="shared" si="50"/>
        <v>0</v>
      </c>
      <c r="AO54" s="204" t="e">
        <f>AN54/AM54</f>
        <v>#DIV/0!</v>
      </c>
      <c r="AP54" s="82"/>
      <c r="AQ54" s="131"/>
      <c r="AR54" s="98" t="e">
        <f t="shared" si="9"/>
        <v>#DIV/0!</v>
      </c>
      <c r="AS54" s="82"/>
      <c r="AT54" s="131"/>
      <c r="AU54" s="99" t="e">
        <f t="shared" si="10"/>
        <v>#DIV/0!</v>
      </c>
      <c r="AV54" s="87"/>
      <c r="AW54" s="87"/>
      <c r="AX54" s="100" t="e">
        <f t="shared" si="11"/>
        <v>#DIV/0!</v>
      </c>
      <c r="AY54" s="88">
        <f t="shared" si="51"/>
        <v>0</v>
      </c>
      <c r="AZ54" s="88">
        <f t="shared" si="51"/>
        <v>0</v>
      </c>
      <c r="BA54" s="204" t="e">
        <f>AZ54/AY54</f>
        <v>#DIV/0!</v>
      </c>
      <c r="BB54" s="82"/>
      <c r="BC54" s="82"/>
      <c r="BD54" s="100" t="e">
        <f t="shared" si="14"/>
        <v>#DIV/0!</v>
      </c>
      <c r="BE54" s="82"/>
      <c r="BF54" s="82"/>
      <c r="BG54" s="100" t="e">
        <f t="shared" si="15"/>
        <v>#DIV/0!</v>
      </c>
      <c r="BH54" s="82"/>
      <c r="BI54" s="131"/>
      <c r="BJ54" s="99" t="e">
        <f t="shared" si="16"/>
        <v>#DIV/0!</v>
      </c>
      <c r="BK54" s="200">
        <f t="shared" si="52"/>
        <v>0</v>
      </c>
      <c r="BL54" s="200">
        <f t="shared" si="52"/>
        <v>0</v>
      </c>
      <c r="BM54" s="204" t="e">
        <f>BL54/BK54</f>
        <v>#DIV/0!</v>
      </c>
      <c r="BN54" s="97">
        <f>I54+L54+O54+AE54+AH54+AK54+AQ54+AT54+AW54+BC54+BF54+BI54</f>
        <v>329546.94</v>
      </c>
      <c r="BO54" s="134">
        <f t="shared" si="18"/>
        <v>0.18348938752783964</v>
      </c>
      <c r="BP54" s="197">
        <f t="shared" si="1"/>
        <v>600574.3799999999</v>
      </c>
    </row>
    <row r="55" spans="1:68" ht="14.25" customHeight="1" thickBot="1">
      <c r="A55" s="102">
        <v>2</v>
      </c>
      <c r="B55" s="103">
        <v>1</v>
      </c>
      <c r="C55" s="103">
        <v>5</v>
      </c>
      <c r="D55" s="103">
        <v>3</v>
      </c>
      <c r="E55" s="202"/>
      <c r="F55" s="155" t="s">
        <v>28</v>
      </c>
      <c r="G55" s="82">
        <f>144000+2000+1000+1000+5000</f>
        <v>153000</v>
      </c>
      <c r="H55" s="82"/>
      <c r="I55" s="131">
        <v>8135.69</v>
      </c>
      <c r="J55" s="138" t="e">
        <f t="shared" si="2"/>
        <v>#DIV/0!</v>
      </c>
      <c r="K55" s="203"/>
      <c r="L55" s="82">
        <v>8135.69</v>
      </c>
      <c r="M55" s="89" t="e">
        <f t="shared" si="4"/>
        <v>#DIV/0!</v>
      </c>
      <c r="N55" s="82"/>
      <c r="O55" s="82">
        <v>9816.71</v>
      </c>
      <c r="P55" s="89" t="e">
        <f t="shared" si="21"/>
        <v>#DIV/0!</v>
      </c>
      <c r="Q55" s="200">
        <f>N55+K55+H55</f>
        <v>0</v>
      </c>
      <c r="R55" s="200"/>
      <c r="S55" s="200">
        <f>4743.29+1604.46+867.24+2168.1+433.62</f>
        <v>9816.710000000001</v>
      </c>
      <c r="T55" s="200">
        <f>10453.29+490.03</f>
        <v>10943.320000000002</v>
      </c>
      <c r="U55" s="200">
        <v>11153.64</v>
      </c>
      <c r="V55" s="200">
        <v>11334.48</v>
      </c>
      <c r="W55" s="421">
        <f>10558.45+776.03</f>
        <v>11334.480000000001</v>
      </c>
      <c r="X55" s="425">
        <f>10558.45+776.03</f>
        <v>11334.480000000001</v>
      </c>
      <c r="Y55" s="235">
        <v>0</v>
      </c>
      <c r="Z55" s="235">
        <v>0</v>
      </c>
      <c r="AA55" s="425">
        <v>0</v>
      </c>
      <c r="AB55" s="238">
        <f>+I55+L55+O55+S55+T55+U55+V55+W55+X55+Y55+Z55+AA55</f>
        <v>92005.19999999998</v>
      </c>
      <c r="AC55" s="443" t="e">
        <f t="shared" si="23"/>
        <v>#DIV/0!</v>
      </c>
      <c r="AD55" s="82"/>
      <c r="AE55" s="131"/>
      <c r="AF55" s="89" t="e">
        <f t="shared" si="5"/>
        <v>#DIV/0!</v>
      </c>
      <c r="AG55" s="82"/>
      <c r="AH55" s="131"/>
      <c r="AI55" s="89" t="e">
        <f t="shared" si="6"/>
        <v>#DIV/0!</v>
      </c>
      <c r="AJ55" s="82"/>
      <c r="AK55" s="131"/>
      <c r="AL55" s="89" t="e">
        <f t="shared" si="7"/>
        <v>#DIV/0!</v>
      </c>
      <c r="AM55" s="200">
        <f t="shared" si="50"/>
        <v>0</v>
      </c>
      <c r="AN55" s="200">
        <f t="shared" si="50"/>
        <v>0</v>
      </c>
      <c r="AO55" s="204" t="e">
        <f>AN55/AM55</f>
        <v>#DIV/0!</v>
      </c>
      <c r="AP55" s="82"/>
      <c r="AQ55" s="131"/>
      <c r="AR55" s="98" t="e">
        <f t="shared" si="9"/>
        <v>#DIV/0!</v>
      </c>
      <c r="AS55" s="82"/>
      <c r="AT55" s="131"/>
      <c r="AU55" s="99" t="e">
        <f t="shared" si="10"/>
        <v>#DIV/0!</v>
      </c>
      <c r="AV55" s="87"/>
      <c r="AW55" s="87"/>
      <c r="AX55" s="100" t="e">
        <f t="shared" si="11"/>
        <v>#DIV/0!</v>
      </c>
      <c r="AY55" s="88">
        <f t="shared" si="51"/>
        <v>0</v>
      </c>
      <c r="AZ55" s="88">
        <f t="shared" si="51"/>
        <v>0</v>
      </c>
      <c r="BA55" s="204" t="e">
        <f>AZ55/AY55</f>
        <v>#DIV/0!</v>
      </c>
      <c r="BB55" s="82"/>
      <c r="BC55" s="82"/>
      <c r="BD55" s="100" t="e">
        <f t="shared" si="14"/>
        <v>#DIV/0!</v>
      </c>
      <c r="BE55" s="82"/>
      <c r="BF55" s="82"/>
      <c r="BG55" s="100" t="e">
        <f t="shared" si="15"/>
        <v>#DIV/0!</v>
      </c>
      <c r="BH55" s="82"/>
      <c r="BI55" s="131"/>
      <c r="BJ55" s="99" t="e">
        <f t="shared" si="16"/>
        <v>#DIV/0!</v>
      </c>
      <c r="BK55" s="200">
        <f t="shared" si="52"/>
        <v>0</v>
      </c>
      <c r="BL55" s="200">
        <f t="shared" si="52"/>
        <v>0</v>
      </c>
      <c r="BM55" s="204" t="e">
        <f>BL55/BK55</f>
        <v>#DIV/0!</v>
      </c>
      <c r="BN55" s="97">
        <f>I55+L55+O55+AE55+AH55+AK55+AQ55+AT55+AW55+BC55+BF55+BI55</f>
        <v>26088.089999999997</v>
      </c>
      <c r="BO55" s="134">
        <f t="shared" si="18"/>
        <v>0.17051039215686273</v>
      </c>
      <c r="BP55" s="197">
        <f t="shared" si="1"/>
        <v>60994.80000000002</v>
      </c>
    </row>
    <row r="56" spans="1:68" s="78" customFormat="1" ht="10.5" customHeight="1" thickBot="1">
      <c r="A56" s="120"/>
      <c r="B56" s="121"/>
      <c r="C56" s="121"/>
      <c r="D56" s="121"/>
      <c r="E56" s="122"/>
      <c r="F56" s="154"/>
      <c r="G56" s="124"/>
      <c r="H56" s="124"/>
      <c r="I56" s="132"/>
      <c r="J56" s="139"/>
      <c r="K56" s="151"/>
      <c r="L56" s="110"/>
      <c r="M56" s="101"/>
      <c r="N56" s="110"/>
      <c r="O56" s="124"/>
      <c r="P56" s="101"/>
      <c r="Q56" s="209"/>
      <c r="R56" s="209"/>
      <c r="S56" s="209" t="s">
        <v>262</v>
      </c>
      <c r="T56" s="209"/>
      <c r="U56" s="209"/>
      <c r="V56" s="209"/>
      <c r="W56" s="422"/>
      <c r="X56" s="425"/>
      <c r="Y56" s="235"/>
      <c r="Z56" s="235"/>
      <c r="AA56" s="425"/>
      <c r="AB56" s="238"/>
      <c r="AC56" s="445"/>
      <c r="AD56" s="124"/>
      <c r="AE56" s="132"/>
      <c r="AF56" s="101"/>
      <c r="AG56" s="124"/>
      <c r="AH56" s="132"/>
      <c r="AI56" s="101"/>
      <c r="AJ56" s="124"/>
      <c r="AK56" s="132"/>
      <c r="AL56" s="101"/>
      <c r="AM56" s="209"/>
      <c r="AN56" s="209"/>
      <c r="AO56" s="210"/>
      <c r="AP56" s="124"/>
      <c r="AQ56" s="132"/>
      <c r="AR56" s="98"/>
      <c r="AS56" s="124"/>
      <c r="AT56" s="132"/>
      <c r="AU56" s="108"/>
      <c r="AV56" s="152"/>
      <c r="AW56" s="152"/>
      <c r="AX56" s="109"/>
      <c r="AY56" s="110"/>
      <c r="AZ56" s="110"/>
      <c r="BA56" s="210"/>
      <c r="BB56" s="110"/>
      <c r="BC56" s="110"/>
      <c r="BD56" s="109"/>
      <c r="BE56" s="110"/>
      <c r="BF56" s="110"/>
      <c r="BG56" s="109"/>
      <c r="BH56" s="110"/>
      <c r="BI56" s="132"/>
      <c r="BJ56" s="108"/>
      <c r="BK56" s="209"/>
      <c r="BL56" s="209"/>
      <c r="BM56" s="210"/>
      <c r="BN56" s="133"/>
      <c r="BO56" s="119"/>
      <c r="BP56" s="197">
        <f t="shared" si="1"/>
        <v>0</v>
      </c>
    </row>
    <row r="57" spans="1:68" ht="13.5" thickBot="1">
      <c r="A57" s="192">
        <v>2</v>
      </c>
      <c r="B57" s="193">
        <v>2</v>
      </c>
      <c r="C57" s="193"/>
      <c r="D57" s="193"/>
      <c r="E57" s="194"/>
      <c r="F57" s="211" t="s">
        <v>139</v>
      </c>
      <c r="G57" s="182">
        <f>G59+G69+G73+G77+G81+G86+G92+G102</f>
        <v>11534012</v>
      </c>
      <c r="H57" s="182">
        <f aca="true" t="shared" si="53" ref="H57:R57">H59+H69+H73+H77+H81+H86+H92+H102</f>
        <v>0</v>
      </c>
      <c r="I57" s="182">
        <f t="shared" si="53"/>
        <v>502577.65</v>
      </c>
      <c r="J57" s="182" t="e">
        <f>J59+J69+J73+J77+J81+J86+J92+J102</f>
        <v>#DIV/0!</v>
      </c>
      <c r="K57" s="182">
        <f t="shared" si="53"/>
        <v>0</v>
      </c>
      <c r="L57" s="182">
        <f t="shared" si="53"/>
        <v>739372.16</v>
      </c>
      <c r="M57" s="182" t="e">
        <f>M59+M69+M73+M77+M81+M86+M92+M102</f>
        <v>#DIV/0!</v>
      </c>
      <c r="N57" s="182">
        <f t="shared" si="53"/>
        <v>0</v>
      </c>
      <c r="O57" s="182">
        <f t="shared" si="53"/>
        <v>1203350.51</v>
      </c>
      <c r="P57" s="182" t="e">
        <f>P59+P69+P73+P77+P81+P86+P92+P102</f>
        <v>#DIV/0!</v>
      </c>
      <c r="Q57" s="182">
        <f t="shared" si="53"/>
        <v>0</v>
      </c>
      <c r="R57" s="182">
        <f t="shared" si="53"/>
        <v>0</v>
      </c>
      <c r="S57" s="182">
        <f aca="true" t="shared" si="54" ref="S57:AA57">S59+S69+S73+S77+S81+S86+S92+S102</f>
        <v>984804.79</v>
      </c>
      <c r="T57" s="182">
        <f t="shared" si="54"/>
        <v>551199.75</v>
      </c>
      <c r="U57" s="182">
        <f t="shared" si="54"/>
        <v>876679.88</v>
      </c>
      <c r="V57" s="182">
        <f t="shared" si="54"/>
        <v>547784.36</v>
      </c>
      <c r="W57" s="182">
        <f>W59+W69+W73+W77+W81+W86+W92+W102</f>
        <v>1140067.21</v>
      </c>
      <c r="X57" s="182">
        <f>X59+X69+X73+X77+X81+X86+X92+X102</f>
        <v>773985.8700000001</v>
      </c>
      <c r="Y57" s="232">
        <f t="shared" si="54"/>
        <v>0</v>
      </c>
      <c r="Z57" s="232">
        <f t="shared" si="54"/>
        <v>0</v>
      </c>
      <c r="AA57" s="426">
        <f t="shared" si="54"/>
        <v>0</v>
      </c>
      <c r="AB57" s="182">
        <f>AB59+AB69+AB73+AB77+AB81+AB86+AB92+AB102</f>
        <v>7319822.180000001</v>
      </c>
      <c r="AC57" s="446" t="e">
        <f t="shared" si="23"/>
        <v>#DIV/0!</v>
      </c>
      <c r="AD57" s="182">
        <f>AD59+AD69+AD73+AD77+AD81+AD86+AD92+AD102</f>
        <v>62600</v>
      </c>
      <c r="AE57" s="182">
        <f>AE59+AE69+AE73+AE77+AE81+AE86+AE92+AE102</f>
        <v>62600</v>
      </c>
      <c r="AF57" s="178">
        <f t="shared" si="5"/>
        <v>1</v>
      </c>
      <c r="AG57" s="182">
        <f>AG59+AG69+AG73+AG77+AG81+AG86+AG92+AG102</f>
        <v>62600</v>
      </c>
      <c r="AH57" s="182">
        <f>AH59+AH69+AH73+AH77+AH81+AH86+AH92+AH102</f>
        <v>62600</v>
      </c>
      <c r="AI57" s="178">
        <f t="shared" si="6"/>
        <v>1</v>
      </c>
      <c r="AJ57" s="182">
        <f>AJ59+AJ69+AJ73+AJ77+AJ81+AJ86+AJ92+AJ102</f>
        <v>62600</v>
      </c>
      <c r="AK57" s="182">
        <f>AK59+AK69+AK73+AK77+AK81+AK86+AK92+AK102</f>
        <v>62600</v>
      </c>
      <c r="AL57" s="178">
        <f t="shared" si="7"/>
        <v>1</v>
      </c>
      <c r="AM57" s="182">
        <f>AM59+AM69+AM73+AM77+AM81+AM86+AM92+AM102</f>
        <v>62600</v>
      </c>
      <c r="AN57" s="182">
        <f>AN59+AN69+AN73+AN77+AN81+AN86+AN92+AN102</f>
        <v>62600</v>
      </c>
      <c r="AO57" s="212">
        <f>AN57/AM57</f>
        <v>1</v>
      </c>
      <c r="AP57" s="182">
        <f>AP59+AP69+AP73+AP77+AP81+AP86+AP92+AP102</f>
        <v>62600</v>
      </c>
      <c r="AQ57" s="182">
        <f>AQ59+AQ69+AQ73+AQ77+AQ81+AQ86+AQ92+AQ102</f>
        <v>62600</v>
      </c>
      <c r="AR57" s="179">
        <f t="shared" si="9"/>
        <v>1</v>
      </c>
      <c r="AS57" s="182">
        <f>AS59+AS69+AS73+AS77+AS81+AS86+AS92+AS102</f>
        <v>62600</v>
      </c>
      <c r="AT57" s="182">
        <f>AT59+AT69+AT73+AT77+AT81+AT86+AT92+AT102</f>
        <v>62600</v>
      </c>
      <c r="AU57" s="180">
        <f t="shared" si="10"/>
        <v>1</v>
      </c>
      <c r="AV57" s="182">
        <f>AV59+AV69+AV73+AV77+AV81+AV86+AV92+AV102</f>
        <v>62600</v>
      </c>
      <c r="AW57" s="182">
        <f>AW59+AW69+AW73+AW77+AW81+AW86+AW92+AW102</f>
        <v>62600</v>
      </c>
      <c r="AX57" s="182">
        <f t="shared" si="11"/>
        <v>1</v>
      </c>
      <c r="AY57" s="182">
        <f>AY59+AY69+AY73+AY77+AY81+AY86+AY92+AY102</f>
        <v>62600</v>
      </c>
      <c r="AZ57" s="182">
        <f>AZ59+AZ69+AZ73+AZ77+AZ81+AZ86+AZ92+AZ102</f>
        <v>62600</v>
      </c>
      <c r="BA57" s="212">
        <f>AZ57/AY57</f>
        <v>1</v>
      </c>
      <c r="BB57" s="182"/>
      <c r="BC57" s="182"/>
      <c r="BD57" s="182" t="e">
        <f t="shared" si="14"/>
        <v>#DIV/0!</v>
      </c>
      <c r="BE57" s="182"/>
      <c r="BF57" s="182"/>
      <c r="BG57" s="182" t="e">
        <f t="shared" si="15"/>
        <v>#DIV/0!</v>
      </c>
      <c r="BH57" s="182">
        <f>BH59+BH69+BH73+BH77+BH81+BH86+BH92+BH102</f>
        <v>62600</v>
      </c>
      <c r="BI57" s="180">
        <f>BI59+BI69+BI73+BI77+BI81+BI86+BI92+BI102</f>
        <v>62600</v>
      </c>
      <c r="BJ57" s="180">
        <f t="shared" si="16"/>
        <v>1</v>
      </c>
      <c r="BK57" s="182">
        <f>BK59+BK69+BK73+BK77+BK81+BK86+BK92+BK102</f>
        <v>62600</v>
      </c>
      <c r="BL57" s="182">
        <f>BL59+BL69+BL73+BL77+BL81+BL86+BL92+BL102</f>
        <v>62600</v>
      </c>
      <c r="BM57" s="212">
        <f>BL57/BK57</f>
        <v>1</v>
      </c>
      <c r="BN57" s="180">
        <f>BN59+BN69+BN73+BN77+BN81+BN86+BN92+BN102</f>
        <v>3204205.6500000004</v>
      </c>
      <c r="BO57" s="178">
        <f t="shared" si="18"/>
        <v>0.2778049519976224</v>
      </c>
      <c r="BP57" s="197">
        <f t="shared" si="1"/>
        <v>4214189.819999999</v>
      </c>
    </row>
    <row r="58" spans="1:68" s="78" customFormat="1" ht="10.5" customHeight="1" thickBot="1">
      <c r="A58" s="125"/>
      <c r="B58" s="126"/>
      <c r="C58" s="127"/>
      <c r="D58" s="127"/>
      <c r="E58" s="128"/>
      <c r="F58" s="130"/>
      <c r="G58" s="81"/>
      <c r="H58" s="81"/>
      <c r="I58" s="111"/>
      <c r="J58" s="112"/>
      <c r="K58" s="113"/>
      <c r="L58" s="114"/>
      <c r="M58" s="115"/>
      <c r="N58" s="114"/>
      <c r="O58" s="114"/>
      <c r="P58" s="115"/>
      <c r="Q58" s="214"/>
      <c r="R58" s="214"/>
      <c r="S58" s="214"/>
      <c r="T58" s="214"/>
      <c r="U58" s="214"/>
      <c r="V58" s="214"/>
      <c r="W58" s="420"/>
      <c r="X58" s="425"/>
      <c r="Y58" s="235"/>
      <c r="Z58" s="235"/>
      <c r="AA58" s="425"/>
      <c r="AB58" s="232">
        <f>+I58+L58+O58+S58+T58+U58+V58+W58+X58+Y58+Z58+AA58</f>
        <v>0</v>
      </c>
      <c r="AC58" s="442"/>
      <c r="AD58" s="81"/>
      <c r="AE58" s="111"/>
      <c r="AF58" s="115"/>
      <c r="AG58" s="81"/>
      <c r="AH58" s="111"/>
      <c r="AI58" s="115"/>
      <c r="AJ58" s="81"/>
      <c r="AK58" s="111"/>
      <c r="AL58" s="115"/>
      <c r="AM58" s="214"/>
      <c r="AN58" s="214"/>
      <c r="AO58" s="201"/>
      <c r="AP58" s="81"/>
      <c r="AQ58" s="111"/>
      <c r="AR58" s="117"/>
      <c r="AS58" s="81"/>
      <c r="AT58" s="111"/>
      <c r="AU58" s="118"/>
      <c r="AV58" s="116"/>
      <c r="AW58" s="116"/>
      <c r="AX58" s="81"/>
      <c r="AY58" s="114"/>
      <c r="AZ58" s="114"/>
      <c r="BA58" s="201"/>
      <c r="BB58" s="114"/>
      <c r="BC58" s="114"/>
      <c r="BD58" s="81"/>
      <c r="BE58" s="114"/>
      <c r="BF58" s="114"/>
      <c r="BG58" s="81"/>
      <c r="BH58" s="114"/>
      <c r="BI58" s="111"/>
      <c r="BJ58" s="118"/>
      <c r="BK58" s="214"/>
      <c r="BL58" s="214"/>
      <c r="BM58" s="201"/>
      <c r="BN58" s="118"/>
      <c r="BO58" s="119"/>
      <c r="BP58" s="197">
        <f t="shared" si="1"/>
        <v>0</v>
      </c>
    </row>
    <row r="59" spans="1:68" s="76" customFormat="1" ht="13.5" thickBot="1">
      <c r="A59" s="102">
        <v>2</v>
      </c>
      <c r="B59" s="103">
        <v>2</v>
      </c>
      <c r="C59" s="103">
        <v>1</v>
      </c>
      <c r="D59" s="84"/>
      <c r="E59" s="104"/>
      <c r="F59" s="155" t="s">
        <v>140</v>
      </c>
      <c r="G59" s="82">
        <f>+G60+G61+G62+G63+G64+G66+G67</f>
        <v>1649000</v>
      </c>
      <c r="H59" s="82">
        <f>+H60+H61+H62+H63+H64+H66+H67</f>
        <v>0</v>
      </c>
      <c r="I59" s="82">
        <f>+I60+I61+I62+I63+I64+I66+I67</f>
        <v>113838.17000000001</v>
      </c>
      <c r="J59" s="138" t="e">
        <f t="shared" si="2"/>
        <v>#DIV/0!</v>
      </c>
      <c r="K59" s="82">
        <f>+K60+K61+K62+K63+K64+K66+K67</f>
        <v>0</v>
      </c>
      <c r="L59" s="82">
        <f>+L60+L61+L62+L63+L64+L66+L67</f>
        <v>123533.42000000001</v>
      </c>
      <c r="M59" s="89" t="e">
        <f t="shared" si="4"/>
        <v>#DIV/0!</v>
      </c>
      <c r="N59" s="82">
        <f aca="true" t="shared" si="55" ref="N59:AA59">N60+N61+N62+N63+N64+N66+N67</f>
        <v>0</v>
      </c>
      <c r="O59" s="82">
        <f t="shared" si="55"/>
        <v>147830.18</v>
      </c>
      <c r="P59" s="82" t="e">
        <f t="shared" si="55"/>
        <v>#DIV/0!</v>
      </c>
      <c r="Q59" s="82">
        <f t="shared" si="55"/>
        <v>0</v>
      </c>
      <c r="R59" s="82">
        <f t="shared" si="55"/>
        <v>0</v>
      </c>
      <c r="S59" s="82">
        <f t="shared" si="55"/>
        <v>134248.28</v>
      </c>
      <c r="T59" s="82">
        <f t="shared" si="55"/>
        <v>130627.32999999999</v>
      </c>
      <c r="U59" s="82">
        <f t="shared" si="55"/>
        <v>172040.46000000002</v>
      </c>
      <c r="V59" s="82">
        <f t="shared" si="55"/>
        <v>91774.08</v>
      </c>
      <c r="W59" s="131">
        <f>W60+W61+W62+W63+W64+W66+W67</f>
        <v>143940.95</v>
      </c>
      <c r="X59" s="131">
        <f t="shared" si="55"/>
        <v>150622.91</v>
      </c>
      <c r="Y59" s="232">
        <f t="shared" si="55"/>
        <v>0</v>
      </c>
      <c r="Z59" s="232">
        <f t="shared" si="55"/>
        <v>0</v>
      </c>
      <c r="AA59" s="426">
        <f t="shared" si="55"/>
        <v>0</v>
      </c>
      <c r="AB59" s="232">
        <f>AB60+AB61+AB62+AB63+AB64+AB66+AB67</f>
        <v>1208455.78</v>
      </c>
      <c r="AC59" s="443" t="e">
        <f t="shared" si="23"/>
        <v>#DIV/0!</v>
      </c>
      <c r="AD59" s="82">
        <f>+AD60+AD61+AD62+AD63+AD64+AD66+AD67</f>
        <v>0</v>
      </c>
      <c r="AE59" s="82">
        <f>+AE60+AE61+AE62+AE63+AE64+AE66+AE67</f>
        <v>0</v>
      </c>
      <c r="AF59" s="89" t="e">
        <f t="shared" si="5"/>
        <v>#DIV/0!</v>
      </c>
      <c r="AG59" s="82">
        <f>+AG60+AG61+AG62+AG63+AG64+AG66+AG67</f>
        <v>0</v>
      </c>
      <c r="AH59" s="82">
        <f>+AH60+AH61+AH62+AH63+AH64+AH66+AH67</f>
        <v>0</v>
      </c>
      <c r="AI59" s="89" t="e">
        <f t="shared" si="6"/>
        <v>#DIV/0!</v>
      </c>
      <c r="AJ59" s="82">
        <f>+AJ60+AJ61+AJ62+AJ63+AJ64+AJ66+AJ67</f>
        <v>0</v>
      </c>
      <c r="AK59" s="82">
        <f>+AK60+AK61+AK62+AK63+AK64+AK66+AK67</f>
        <v>0</v>
      </c>
      <c r="AL59" s="89" t="e">
        <f t="shared" si="7"/>
        <v>#DIV/0!</v>
      </c>
      <c r="AM59" s="82">
        <f>AM60+AM61+AM62+AM63+AM64+AM66+AM67</f>
        <v>0</v>
      </c>
      <c r="AN59" s="82">
        <f>AN60+AN61+AN62+AN63+AN64+AN66+AN67</f>
        <v>0</v>
      </c>
      <c r="AO59" s="204" t="e">
        <f aca="true" t="shared" si="56" ref="AO59:AO120">AN59/AM59</f>
        <v>#DIV/0!</v>
      </c>
      <c r="AP59" s="82">
        <f>+AP60+AP61+AP62+AP63+AP64+AP66+AP67</f>
        <v>0</v>
      </c>
      <c r="AQ59" s="82">
        <f>+AQ60+AQ61+AQ62+AQ63+AQ64+AQ66+AQ67</f>
        <v>0</v>
      </c>
      <c r="AR59" s="98" t="e">
        <f t="shared" si="9"/>
        <v>#DIV/0!</v>
      </c>
      <c r="AS59" s="82">
        <f>+AS60+AS61+AS62+AS63+AS64+AS66+AS67</f>
        <v>0</v>
      </c>
      <c r="AT59" s="82">
        <f>+AT60+AT61+AT62+AT63+AT64+AT66+AT67</f>
        <v>0</v>
      </c>
      <c r="AU59" s="99" t="e">
        <f t="shared" si="10"/>
        <v>#DIV/0!</v>
      </c>
      <c r="AV59" s="82">
        <f>AV60+AV61+AV62+AV63+AV64+AV66+AV67</f>
        <v>0</v>
      </c>
      <c r="AW59" s="82">
        <f>AW60+AW61+AW62+AW63+AW64+AW66+AW67</f>
        <v>0</v>
      </c>
      <c r="AX59" s="100" t="e">
        <f t="shared" si="11"/>
        <v>#DIV/0!</v>
      </c>
      <c r="AY59" s="82">
        <f>AY60+AY61+AY62+AY63+AY64+AY66+AY67</f>
        <v>0</v>
      </c>
      <c r="AZ59" s="82">
        <f>AZ60+AZ61+AZ62+AZ63+AZ64+AZ66+AZ67</f>
        <v>0</v>
      </c>
      <c r="BA59" s="204" t="e">
        <f aca="true" t="shared" si="57" ref="BA59:BA67">AZ59/AY59</f>
        <v>#DIV/0!</v>
      </c>
      <c r="BB59" s="82"/>
      <c r="BC59" s="82"/>
      <c r="BD59" s="100" t="e">
        <f t="shared" si="14"/>
        <v>#DIV/0!</v>
      </c>
      <c r="BE59" s="82"/>
      <c r="BF59" s="82"/>
      <c r="BG59" s="100" t="e">
        <f t="shared" si="15"/>
        <v>#DIV/0!</v>
      </c>
      <c r="BH59" s="82">
        <f>BH60+BH61+BH62+BH63+BH64+BH66+BH67</f>
        <v>0</v>
      </c>
      <c r="BI59" s="131">
        <f>BI60+BI61+BI62+BI63+BI64+BI66+BI67</f>
        <v>0</v>
      </c>
      <c r="BJ59" s="99" t="e">
        <f t="shared" si="16"/>
        <v>#DIV/0!</v>
      </c>
      <c r="BK59" s="82">
        <f>BK60+BK61+BK62+BK63+BK64+BK66+BK67</f>
        <v>0</v>
      </c>
      <c r="BL59" s="82">
        <f>BL60+BL61+BL62+BL63+BL64+BL66+BL67</f>
        <v>0</v>
      </c>
      <c r="BM59" s="204" t="e">
        <f aca="true" t="shared" si="58" ref="BM59:BM67">BL59/BK59</f>
        <v>#DIV/0!</v>
      </c>
      <c r="BN59" s="131">
        <f>+BN60+BN61+BN62+BN63+BN64+BN66+BN67</f>
        <v>390364.77</v>
      </c>
      <c r="BO59" s="134">
        <f t="shared" si="18"/>
        <v>0.2367281807155852</v>
      </c>
      <c r="BP59" s="197">
        <f t="shared" si="1"/>
        <v>440544.22</v>
      </c>
    </row>
    <row r="60" spans="1:68" ht="15" customHeight="1" thickBot="1">
      <c r="A60" s="102">
        <v>2</v>
      </c>
      <c r="B60" s="103">
        <v>2</v>
      </c>
      <c r="C60" s="103">
        <v>1</v>
      </c>
      <c r="D60" s="103">
        <v>2</v>
      </c>
      <c r="E60" s="202"/>
      <c r="F60" s="155" t="s">
        <v>83</v>
      </c>
      <c r="G60" s="82">
        <v>20000</v>
      </c>
      <c r="H60" s="82"/>
      <c r="I60" s="131">
        <v>890.5</v>
      </c>
      <c r="J60" s="138" t="e">
        <f t="shared" si="2"/>
        <v>#DIV/0!</v>
      </c>
      <c r="K60" s="203"/>
      <c r="L60" s="131">
        <v>890.5</v>
      </c>
      <c r="M60" s="89" t="e">
        <f t="shared" si="4"/>
        <v>#DIV/0!</v>
      </c>
      <c r="N60" s="82"/>
      <c r="O60" s="131">
        <v>890.5</v>
      </c>
      <c r="P60" s="89" t="e">
        <f t="shared" si="21"/>
        <v>#DIV/0!</v>
      </c>
      <c r="Q60" s="200">
        <f>N60+K60+H60</f>
        <v>0</v>
      </c>
      <c r="R60" s="200"/>
      <c r="S60" s="200">
        <v>890.5</v>
      </c>
      <c r="T60" s="200">
        <v>890.5</v>
      </c>
      <c r="U60" s="200">
        <v>890.5</v>
      </c>
      <c r="V60" s="200">
        <v>890.5</v>
      </c>
      <c r="W60" s="421">
        <v>890.5</v>
      </c>
      <c r="X60" s="425">
        <v>890.5</v>
      </c>
      <c r="Y60" s="235">
        <v>0</v>
      </c>
      <c r="Z60" s="235">
        <v>0</v>
      </c>
      <c r="AA60" s="425">
        <v>0</v>
      </c>
      <c r="AB60" s="238">
        <f>+I60+L60+O60+S60+T60+U60+V60+W60+X60+Y60+Z60+AA60</f>
        <v>8014.5</v>
      </c>
      <c r="AC60" s="443" t="e">
        <f t="shared" si="23"/>
        <v>#DIV/0!</v>
      </c>
      <c r="AD60" s="82"/>
      <c r="AE60" s="131"/>
      <c r="AF60" s="89" t="e">
        <f t="shared" si="5"/>
        <v>#DIV/0!</v>
      </c>
      <c r="AG60" s="82"/>
      <c r="AH60" s="131"/>
      <c r="AI60" s="89" t="e">
        <f t="shared" si="6"/>
        <v>#DIV/0!</v>
      </c>
      <c r="AJ60" s="82"/>
      <c r="AK60" s="131"/>
      <c r="AL60" s="89" t="e">
        <f t="shared" si="7"/>
        <v>#DIV/0!</v>
      </c>
      <c r="AM60" s="200">
        <f aca="true" t="shared" si="59" ref="AM60:AN63">AJ60+AG60+AD60</f>
        <v>0</v>
      </c>
      <c r="AN60" s="200">
        <f t="shared" si="59"/>
        <v>0</v>
      </c>
      <c r="AO60" s="204" t="e">
        <f t="shared" si="56"/>
        <v>#DIV/0!</v>
      </c>
      <c r="AP60" s="82"/>
      <c r="AQ60" s="131"/>
      <c r="AR60" s="98" t="e">
        <f t="shared" si="9"/>
        <v>#DIV/0!</v>
      </c>
      <c r="AS60" s="82"/>
      <c r="AT60" s="131"/>
      <c r="AU60" s="99" t="e">
        <f t="shared" si="10"/>
        <v>#DIV/0!</v>
      </c>
      <c r="AV60" s="87"/>
      <c r="AW60" s="87"/>
      <c r="AX60" s="100" t="e">
        <f t="shared" si="11"/>
        <v>#DIV/0!</v>
      </c>
      <c r="AY60" s="88">
        <f aca="true" t="shared" si="60" ref="AY60:AZ63">AV60+AS60+AP60</f>
        <v>0</v>
      </c>
      <c r="AZ60" s="88">
        <f t="shared" si="60"/>
        <v>0</v>
      </c>
      <c r="BA60" s="204" t="e">
        <f t="shared" si="57"/>
        <v>#DIV/0!</v>
      </c>
      <c r="BB60" s="82"/>
      <c r="BC60" s="82"/>
      <c r="BD60" s="100" t="e">
        <f t="shared" si="14"/>
        <v>#DIV/0!</v>
      </c>
      <c r="BE60" s="82"/>
      <c r="BF60" s="82"/>
      <c r="BG60" s="100" t="e">
        <f t="shared" si="15"/>
        <v>#DIV/0!</v>
      </c>
      <c r="BH60" s="82"/>
      <c r="BI60" s="131"/>
      <c r="BJ60" s="99" t="e">
        <f t="shared" si="16"/>
        <v>#DIV/0!</v>
      </c>
      <c r="BK60" s="200">
        <f aca="true" t="shared" si="61" ref="BK60:BL63">BH60+BE60+BB60</f>
        <v>0</v>
      </c>
      <c r="BL60" s="200">
        <f t="shared" si="61"/>
        <v>0</v>
      </c>
      <c r="BM60" s="204" t="e">
        <f t="shared" si="58"/>
        <v>#DIV/0!</v>
      </c>
      <c r="BN60" s="97">
        <f>I60+L60+O60+AE60+AH60+AK60+AQ60+AT60+AW60+BC60+BF60+BI60</f>
        <v>2671.5</v>
      </c>
      <c r="BO60" s="134">
        <f t="shared" si="18"/>
        <v>0.133575</v>
      </c>
      <c r="BP60" s="197">
        <f t="shared" si="1"/>
        <v>11985.5</v>
      </c>
    </row>
    <row r="61" spans="1:68" ht="13.5" thickBot="1">
      <c r="A61" s="102">
        <v>2</v>
      </c>
      <c r="B61" s="103">
        <v>2</v>
      </c>
      <c r="C61" s="103">
        <v>1</v>
      </c>
      <c r="D61" s="103">
        <v>3</v>
      </c>
      <c r="E61" s="202"/>
      <c r="F61" s="155" t="s">
        <v>138</v>
      </c>
      <c r="G61" s="82">
        <v>1000000</v>
      </c>
      <c r="H61" s="82"/>
      <c r="I61" s="131">
        <f>23533.5+51928.1</f>
        <v>75461.6</v>
      </c>
      <c r="J61" s="138" t="e">
        <f t="shared" si="2"/>
        <v>#DIV/0!</v>
      </c>
      <c r="K61" s="203"/>
      <c r="L61" s="82">
        <f>35145.61+53227.27</f>
        <v>88372.88</v>
      </c>
      <c r="M61" s="89" t="e">
        <f t="shared" si="4"/>
        <v>#DIV/0!</v>
      </c>
      <c r="N61" s="82"/>
      <c r="O61" s="82">
        <f>25497.01+84144.28</f>
        <v>109641.29</v>
      </c>
      <c r="P61" s="89" t="e">
        <f t="shared" si="21"/>
        <v>#DIV/0!</v>
      </c>
      <c r="Q61" s="200">
        <f>N61+K61+H61</f>
        <v>0</v>
      </c>
      <c r="R61" s="200"/>
      <c r="S61" s="200">
        <f>41159.22+54872.66</f>
        <v>96031.88</v>
      </c>
      <c r="T61" s="200">
        <f>33379.96+54366.03</f>
        <v>87745.98999999999</v>
      </c>
      <c r="U61" s="200">
        <f>32811.76+54692.62</f>
        <v>87504.38</v>
      </c>
      <c r="V61" s="200">
        <f>30250.61+54682.97</f>
        <v>84933.58</v>
      </c>
      <c r="W61" s="421">
        <f>34179.23+58239.9</f>
        <v>92419.13</v>
      </c>
      <c r="X61" s="425">
        <f>31947.75+68290.85</f>
        <v>100238.6</v>
      </c>
      <c r="Y61" s="235">
        <v>0</v>
      </c>
      <c r="Z61" s="235">
        <v>0</v>
      </c>
      <c r="AA61" s="425">
        <v>0</v>
      </c>
      <c r="AB61" s="238">
        <f>+I61+L61+O61+S61+T61+U61+V61+W61+X61+Y61+Z61+AA61</f>
        <v>822349.33</v>
      </c>
      <c r="AC61" s="443" t="e">
        <f t="shared" si="23"/>
        <v>#DIV/0!</v>
      </c>
      <c r="AD61" s="82"/>
      <c r="AE61" s="131"/>
      <c r="AF61" s="89" t="e">
        <f t="shared" si="5"/>
        <v>#DIV/0!</v>
      </c>
      <c r="AG61" s="82"/>
      <c r="AH61" s="131"/>
      <c r="AI61" s="89" t="e">
        <f t="shared" si="6"/>
        <v>#DIV/0!</v>
      </c>
      <c r="AJ61" s="82"/>
      <c r="AK61" s="131"/>
      <c r="AL61" s="89" t="e">
        <f t="shared" si="7"/>
        <v>#DIV/0!</v>
      </c>
      <c r="AM61" s="200">
        <f t="shared" si="59"/>
        <v>0</v>
      </c>
      <c r="AN61" s="200">
        <f t="shared" si="59"/>
        <v>0</v>
      </c>
      <c r="AO61" s="204" t="e">
        <f t="shared" si="56"/>
        <v>#DIV/0!</v>
      </c>
      <c r="AP61" s="82"/>
      <c r="AQ61" s="131"/>
      <c r="AR61" s="98" t="e">
        <f t="shared" si="9"/>
        <v>#DIV/0!</v>
      </c>
      <c r="AS61" s="82"/>
      <c r="AT61" s="131"/>
      <c r="AU61" s="99" t="e">
        <f t="shared" si="10"/>
        <v>#DIV/0!</v>
      </c>
      <c r="AV61" s="87"/>
      <c r="AW61" s="87"/>
      <c r="AX61" s="100" t="e">
        <f t="shared" si="11"/>
        <v>#DIV/0!</v>
      </c>
      <c r="AY61" s="88">
        <f t="shared" si="60"/>
        <v>0</v>
      </c>
      <c r="AZ61" s="88">
        <f t="shared" si="60"/>
        <v>0</v>
      </c>
      <c r="BA61" s="204" t="e">
        <f t="shared" si="57"/>
        <v>#DIV/0!</v>
      </c>
      <c r="BB61" s="82"/>
      <c r="BC61" s="82"/>
      <c r="BD61" s="100" t="e">
        <f t="shared" si="14"/>
        <v>#DIV/0!</v>
      </c>
      <c r="BE61" s="82"/>
      <c r="BF61" s="82"/>
      <c r="BG61" s="100" t="e">
        <f t="shared" si="15"/>
        <v>#DIV/0!</v>
      </c>
      <c r="BH61" s="82"/>
      <c r="BI61" s="131"/>
      <c r="BJ61" s="99" t="e">
        <f t="shared" si="16"/>
        <v>#DIV/0!</v>
      </c>
      <c r="BK61" s="200">
        <f t="shared" si="61"/>
        <v>0</v>
      </c>
      <c r="BL61" s="200">
        <f t="shared" si="61"/>
        <v>0</v>
      </c>
      <c r="BM61" s="204" t="e">
        <f t="shared" si="58"/>
        <v>#DIV/0!</v>
      </c>
      <c r="BN61" s="97">
        <f>I61+L61+O61+AE61+AH61+AK61+AQ61+AT61+AW61+BC61+BF61+BI61</f>
        <v>273475.77</v>
      </c>
      <c r="BO61" s="134">
        <f t="shared" si="18"/>
        <v>0.27347577</v>
      </c>
      <c r="BP61" s="197">
        <f t="shared" si="1"/>
        <v>177650.67000000004</v>
      </c>
    </row>
    <row r="62" spans="1:68" ht="13.5" thickBot="1">
      <c r="A62" s="102">
        <v>2</v>
      </c>
      <c r="B62" s="103">
        <v>2</v>
      </c>
      <c r="C62" s="103">
        <v>1</v>
      </c>
      <c r="D62" s="103">
        <v>4</v>
      </c>
      <c r="E62" s="202"/>
      <c r="F62" s="155" t="s">
        <v>29</v>
      </c>
      <c r="G62" s="82">
        <v>75000</v>
      </c>
      <c r="H62" s="82"/>
      <c r="I62" s="131">
        <v>2099.5</v>
      </c>
      <c r="J62" s="138" t="e">
        <f t="shared" si="2"/>
        <v>#DIV/0!</v>
      </c>
      <c r="K62" s="203"/>
      <c r="L62" s="82">
        <v>2099.5</v>
      </c>
      <c r="M62" s="89" t="e">
        <f t="shared" si="4"/>
        <v>#DIV/0!</v>
      </c>
      <c r="N62" s="82"/>
      <c r="O62" s="82">
        <v>2099.5</v>
      </c>
      <c r="P62" s="89" t="e">
        <f t="shared" si="21"/>
        <v>#DIV/0!</v>
      </c>
      <c r="Q62" s="200">
        <f>N62+K62+H62</f>
        <v>0</v>
      </c>
      <c r="R62" s="200"/>
      <c r="S62" s="200">
        <v>2099.5</v>
      </c>
      <c r="T62" s="200">
        <v>2099.5</v>
      </c>
      <c r="U62" s="200">
        <v>2099.5</v>
      </c>
      <c r="V62" s="200">
        <v>2099.5</v>
      </c>
      <c r="W62" s="421">
        <v>2099.5</v>
      </c>
      <c r="X62" s="425">
        <v>2099.5</v>
      </c>
      <c r="Y62" s="235">
        <v>0</v>
      </c>
      <c r="Z62" s="235">
        <v>0</v>
      </c>
      <c r="AA62" s="425">
        <v>0</v>
      </c>
      <c r="AB62" s="238">
        <f>+I62+L62+O62+S62+T62+U62+V62+W62+X62+Y62+Z62+AA62</f>
        <v>18895.5</v>
      </c>
      <c r="AC62" s="443" t="e">
        <f t="shared" si="23"/>
        <v>#DIV/0!</v>
      </c>
      <c r="AD62" s="82"/>
      <c r="AE62" s="131"/>
      <c r="AF62" s="89" t="e">
        <f t="shared" si="5"/>
        <v>#DIV/0!</v>
      </c>
      <c r="AG62" s="82"/>
      <c r="AH62" s="131"/>
      <c r="AI62" s="89" t="e">
        <f t="shared" si="6"/>
        <v>#DIV/0!</v>
      </c>
      <c r="AJ62" s="82"/>
      <c r="AK62" s="131"/>
      <c r="AL62" s="89" t="e">
        <f t="shared" si="7"/>
        <v>#DIV/0!</v>
      </c>
      <c r="AM62" s="200">
        <f t="shared" si="59"/>
        <v>0</v>
      </c>
      <c r="AN62" s="200">
        <f t="shared" si="59"/>
        <v>0</v>
      </c>
      <c r="AO62" s="204" t="e">
        <f t="shared" si="56"/>
        <v>#DIV/0!</v>
      </c>
      <c r="AP62" s="82"/>
      <c r="AQ62" s="131"/>
      <c r="AR62" s="98" t="e">
        <f t="shared" si="9"/>
        <v>#DIV/0!</v>
      </c>
      <c r="AS62" s="82"/>
      <c r="AT62" s="131"/>
      <c r="AU62" s="99" t="e">
        <f t="shared" si="10"/>
        <v>#DIV/0!</v>
      </c>
      <c r="AV62" s="87"/>
      <c r="AW62" s="87"/>
      <c r="AX62" s="100" t="e">
        <f t="shared" si="11"/>
        <v>#DIV/0!</v>
      </c>
      <c r="AY62" s="88">
        <f t="shared" si="60"/>
        <v>0</v>
      </c>
      <c r="AZ62" s="88">
        <f t="shared" si="60"/>
        <v>0</v>
      </c>
      <c r="BA62" s="204" t="e">
        <f t="shared" si="57"/>
        <v>#DIV/0!</v>
      </c>
      <c r="BB62" s="82"/>
      <c r="BC62" s="82"/>
      <c r="BD62" s="100" t="e">
        <f t="shared" si="14"/>
        <v>#DIV/0!</v>
      </c>
      <c r="BE62" s="82"/>
      <c r="BF62" s="82"/>
      <c r="BG62" s="100" t="e">
        <f t="shared" si="15"/>
        <v>#DIV/0!</v>
      </c>
      <c r="BH62" s="82"/>
      <c r="BI62" s="131"/>
      <c r="BJ62" s="99" t="e">
        <f t="shared" si="16"/>
        <v>#DIV/0!</v>
      </c>
      <c r="BK62" s="200">
        <f t="shared" si="61"/>
        <v>0</v>
      </c>
      <c r="BL62" s="200">
        <f t="shared" si="61"/>
        <v>0</v>
      </c>
      <c r="BM62" s="204" t="e">
        <f t="shared" si="58"/>
        <v>#DIV/0!</v>
      </c>
      <c r="BN62" s="97">
        <f>I62+L62+O62+AE62+AH62+AK62+AQ62+AT62+AW62+BC62+BF62+BI62</f>
        <v>6298.5</v>
      </c>
      <c r="BO62" s="134">
        <f t="shared" si="18"/>
        <v>0.08398</v>
      </c>
      <c r="BP62" s="197">
        <f t="shared" si="1"/>
        <v>56104.5</v>
      </c>
    </row>
    <row r="63" spans="1:68" ht="13.5" thickBot="1">
      <c r="A63" s="102">
        <v>2</v>
      </c>
      <c r="B63" s="103">
        <v>2</v>
      </c>
      <c r="C63" s="103">
        <v>1</v>
      </c>
      <c r="D63" s="103">
        <v>5</v>
      </c>
      <c r="E63" s="202"/>
      <c r="F63" s="155" t="s">
        <v>84</v>
      </c>
      <c r="G63" s="82">
        <v>75000</v>
      </c>
      <c r="H63" s="82"/>
      <c r="I63" s="131">
        <v>2099.5</v>
      </c>
      <c r="J63" s="138" t="e">
        <f t="shared" si="2"/>
        <v>#DIV/0!</v>
      </c>
      <c r="K63" s="203"/>
      <c r="L63" s="131">
        <v>2099.5</v>
      </c>
      <c r="M63" s="89" t="e">
        <f t="shared" si="4"/>
        <v>#DIV/0!</v>
      </c>
      <c r="N63" s="82"/>
      <c r="O63" s="131">
        <v>2099.5</v>
      </c>
      <c r="P63" s="89" t="e">
        <f t="shared" si="21"/>
        <v>#DIV/0!</v>
      </c>
      <c r="Q63" s="200">
        <f>N63+K63+H63</f>
        <v>0</v>
      </c>
      <c r="R63" s="200"/>
      <c r="S63" s="200">
        <v>2099.5</v>
      </c>
      <c r="T63" s="200">
        <v>2099.5</v>
      </c>
      <c r="U63" s="200">
        <v>2099.5</v>
      </c>
      <c r="V63" s="200">
        <v>2099.5</v>
      </c>
      <c r="W63" s="421">
        <v>2099.5</v>
      </c>
      <c r="X63" s="425">
        <v>2099.5</v>
      </c>
      <c r="Y63" s="235">
        <v>0</v>
      </c>
      <c r="Z63" s="235">
        <v>0</v>
      </c>
      <c r="AA63" s="425">
        <v>0</v>
      </c>
      <c r="AB63" s="238">
        <f>+I63+L63+O63+S63+T63+U63+V63+W63+X63+Y63+Z63+AA63</f>
        <v>18895.5</v>
      </c>
      <c r="AC63" s="443" t="e">
        <f t="shared" si="23"/>
        <v>#DIV/0!</v>
      </c>
      <c r="AD63" s="82"/>
      <c r="AE63" s="131"/>
      <c r="AF63" s="89" t="e">
        <f t="shared" si="5"/>
        <v>#DIV/0!</v>
      </c>
      <c r="AG63" s="82"/>
      <c r="AH63" s="131"/>
      <c r="AI63" s="89" t="e">
        <f t="shared" si="6"/>
        <v>#DIV/0!</v>
      </c>
      <c r="AJ63" s="82"/>
      <c r="AK63" s="131"/>
      <c r="AL63" s="89" t="e">
        <f t="shared" si="7"/>
        <v>#DIV/0!</v>
      </c>
      <c r="AM63" s="200">
        <f t="shared" si="59"/>
        <v>0</v>
      </c>
      <c r="AN63" s="200">
        <f t="shared" si="59"/>
        <v>0</v>
      </c>
      <c r="AO63" s="204" t="e">
        <f t="shared" si="56"/>
        <v>#DIV/0!</v>
      </c>
      <c r="AP63" s="82"/>
      <c r="AQ63" s="131"/>
      <c r="AR63" s="98" t="e">
        <f t="shared" si="9"/>
        <v>#DIV/0!</v>
      </c>
      <c r="AS63" s="82"/>
      <c r="AT63" s="131"/>
      <c r="AU63" s="99" t="e">
        <f t="shared" si="10"/>
        <v>#DIV/0!</v>
      </c>
      <c r="AV63" s="87"/>
      <c r="AW63" s="87"/>
      <c r="AX63" s="100" t="e">
        <f t="shared" si="11"/>
        <v>#DIV/0!</v>
      </c>
      <c r="AY63" s="88">
        <f t="shared" si="60"/>
        <v>0</v>
      </c>
      <c r="AZ63" s="88">
        <f t="shared" si="60"/>
        <v>0</v>
      </c>
      <c r="BA63" s="204" t="e">
        <f t="shared" si="57"/>
        <v>#DIV/0!</v>
      </c>
      <c r="BB63" s="82"/>
      <c r="BC63" s="82"/>
      <c r="BD63" s="100" t="e">
        <f t="shared" si="14"/>
        <v>#DIV/0!</v>
      </c>
      <c r="BE63" s="82"/>
      <c r="BF63" s="82"/>
      <c r="BG63" s="100" t="e">
        <f t="shared" si="15"/>
        <v>#DIV/0!</v>
      </c>
      <c r="BH63" s="82"/>
      <c r="BI63" s="131"/>
      <c r="BJ63" s="99" t="e">
        <f t="shared" si="16"/>
        <v>#DIV/0!</v>
      </c>
      <c r="BK63" s="200">
        <f t="shared" si="61"/>
        <v>0</v>
      </c>
      <c r="BL63" s="200">
        <f t="shared" si="61"/>
        <v>0</v>
      </c>
      <c r="BM63" s="204" t="e">
        <f t="shared" si="58"/>
        <v>#DIV/0!</v>
      </c>
      <c r="BN63" s="97">
        <f>I63+L63+O63+AE63+AH63+AK63+AQ63+AT63+AW63+BC63+BF63+BI63</f>
        <v>6298.5</v>
      </c>
      <c r="BO63" s="134">
        <f t="shared" si="18"/>
        <v>0.08398</v>
      </c>
      <c r="BP63" s="197">
        <f t="shared" si="1"/>
        <v>56104.5</v>
      </c>
    </row>
    <row r="64" spans="1:68" ht="13.5" thickBot="1">
      <c r="A64" s="102">
        <v>2</v>
      </c>
      <c r="B64" s="103">
        <v>2</v>
      </c>
      <c r="C64" s="103">
        <v>1</v>
      </c>
      <c r="D64" s="103">
        <v>6</v>
      </c>
      <c r="E64" s="202"/>
      <c r="F64" s="155" t="s">
        <v>1</v>
      </c>
      <c r="G64" s="82">
        <f>G65</f>
        <v>450000</v>
      </c>
      <c r="H64" s="82">
        <f>H65+H66+H67</f>
        <v>0</v>
      </c>
      <c r="I64" s="131">
        <f>+I65</f>
        <v>31158.07</v>
      </c>
      <c r="J64" s="138" t="e">
        <f t="shared" si="2"/>
        <v>#DIV/0!</v>
      </c>
      <c r="K64" s="203">
        <f aca="true" t="shared" si="62" ref="K64:S64">+K65</f>
        <v>0</v>
      </c>
      <c r="L64" s="82">
        <f t="shared" si="62"/>
        <v>27747.04</v>
      </c>
      <c r="M64" s="82" t="e">
        <f t="shared" si="62"/>
        <v>#DIV/0!</v>
      </c>
      <c r="N64" s="82">
        <f t="shared" si="62"/>
        <v>0</v>
      </c>
      <c r="O64" s="82">
        <f t="shared" si="62"/>
        <v>31443.39</v>
      </c>
      <c r="P64" s="82" t="e">
        <f t="shared" si="62"/>
        <v>#DIV/0!</v>
      </c>
      <c r="Q64" s="82">
        <f t="shared" si="62"/>
        <v>0</v>
      </c>
      <c r="R64" s="82">
        <f t="shared" si="62"/>
        <v>0</v>
      </c>
      <c r="S64" s="82">
        <f t="shared" si="62"/>
        <v>31470.9</v>
      </c>
      <c r="T64" s="82">
        <f>+T65</f>
        <v>36135.84</v>
      </c>
      <c r="U64" s="82">
        <f aca="true" t="shared" si="63" ref="U64:AA64">+U65</f>
        <v>77595.58</v>
      </c>
      <c r="V64" s="82">
        <f t="shared" si="63"/>
        <v>0</v>
      </c>
      <c r="W64" s="131">
        <f>+W65</f>
        <v>44776.32</v>
      </c>
      <c r="X64" s="131">
        <f t="shared" si="63"/>
        <v>43638.81</v>
      </c>
      <c r="Y64" s="131">
        <f t="shared" si="63"/>
        <v>0</v>
      </c>
      <c r="Z64" s="232">
        <f t="shared" si="63"/>
        <v>0</v>
      </c>
      <c r="AA64" s="426">
        <f t="shared" si="63"/>
        <v>0</v>
      </c>
      <c r="AB64" s="232">
        <f>AB65</f>
        <v>323965.95</v>
      </c>
      <c r="AC64" s="443" t="e">
        <f t="shared" si="23"/>
        <v>#DIV/0!</v>
      </c>
      <c r="AD64" s="82">
        <f>AD65+AD66+AD67</f>
        <v>0</v>
      </c>
      <c r="AE64" s="131">
        <f>+AE65</f>
        <v>0</v>
      </c>
      <c r="AF64" s="89" t="e">
        <f t="shared" si="5"/>
        <v>#DIV/0!</v>
      </c>
      <c r="AG64" s="82">
        <f>AG65+AG66+AG67</f>
        <v>0</v>
      </c>
      <c r="AH64" s="131">
        <f>+AH65</f>
        <v>0</v>
      </c>
      <c r="AI64" s="89" t="e">
        <f t="shared" si="6"/>
        <v>#DIV/0!</v>
      </c>
      <c r="AJ64" s="82">
        <f>AJ65+AJ66+AJ67</f>
        <v>0</v>
      </c>
      <c r="AK64" s="131">
        <f>+AK65</f>
        <v>0</v>
      </c>
      <c r="AL64" s="89" t="e">
        <f t="shared" si="7"/>
        <v>#DIV/0!</v>
      </c>
      <c r="AM64" s="82">
        <f>+AM65</f>
        <v>0</v>
      </c>
      <c r="AN64" s="82">
        <f>+AN65</f>
        <v>0</v>
      </c>
      <c r="AO64" s="204" t="e">
        <f t="shared" si="56"/>
        <v>#DIV/0!</v>
      </c>
      <c r="AP64" s="82">
        <f>AP65+AP66+AP67</f>
        <v>0</v>
      </c>
      <c r="AQ64" s="131">
        <f>+AQ65</f>
        <v>0</v>
      </c>
      <c r="AR64" s="98" t="e">
        <f t="shared" si="9"/>
        <v>#DIV/0!</v>
      </c>
      <c r="AS64" s="82">
        <f>AS65+AS66+AS67</f>
        <v>0</v>
      </c>
      <c r="AT64" s="131">
        <f>+AT65</f>
        <v>0</v>
      </c>
      <c r="AU64" s="99" t="e">
        <f t="shared" si="10"/>
        <v>#DIV/0!</v>
      </c>
      <c r="AV64" s="82">
        <f>+AV65</f>
        <v>0</v>
      </c>
      <c r="AW64" s="82">
        <f>+AW65</f>
        <v>0</v>
      </c>
      <c r="AX64" s="100" t="e">
        <f t="shared" si="11"/>
        <v>#DIV/0!</v>
      </c>
      <c r="AY64" s="82">
        <f>+AY65</f>
        <v>0</v>
      </c>
      <c r="AZ64" s="82">
        <f>+AZ65</f>
        <v>0</v>
      </c>
      <c r="BA64" s="204" t="e">
        <f t="shared" si="57"/>
        <v>#DIV/0!</v>
      </c>
      <c r="BB64" s="82"/>
      <c r="BC64" s="82"/>
      <c r="BD64" s="100" t="e">
        <f t="shared" si="14"/>
        <v>#DIV/0!</v>
      </c>
      <c r="BE64" s="82"/>
      <c r="BF64" s="82"/>
      <c r="BG64" s="100" t="e">
        <f t="shared" si="15"/>
        <v>#DIV/0!</v>
      </c>
      <c r="BH64" s="82">
        <f>+BH65</f>
        <v>0</v>
      </c>
      <c r="BI64" s="131">
        <f>+BI65</f>
        <v>0</v>
      </c>
      <c r="BJ64" s="99" t="e">
        <f t="shared" si="16"/>
        <v>#DIV/0!</v>
      </c>
      <c r="BK64" s="82">
        <f>+BK65</f>
        <v>0</v>
      </c>
      <c r="BL64" s="82">
        <f>+BL65</f>
        <v>0</v>
      </c>
      <c r="BM64" s="204" t="e">
        <f t="shared" si="58"/>
        <v>#DIV/0!</v>
      </c>
      <c r="BN64" s="131">
        <f>BN65</f>
        <v>90348.5</v>
      </c>
      <c r="BO64" s="134">
        <f t="shared" si="18"/>
        <v>0.20077444444444445</v>
      </c>
      <c r="BP64" s="197">
        <f t="shared" si="1"/>
        <v>126034.04999999999</v>
      </c>
    </row>
    <row r="65" spans="1:68" s="78" customFormat="1" ht="13.5" thickBot="1">
      <c r="A65" s="83">
        <v>2</v>
      </c>
      <c r="B65" s="84">
        <v>2</v>
      </c>
      <c r="C65" s="84">
        <v>1</v>
      </c>
      <c r="D65" s="84">
        <v>6</v>
      </c>
      <c r="E65" s="85" t="s">
        <v>149</v>
      </c>
      <c r="F65" s="90" t="s">
        <v>137</v>
      </c>
      <c r="G65" s="88">
        <f>550000-100000</f>
        <v>450000</v>
      </c>
      <c r="H65" s="88"/>
      <c r="I65" s="97">
        <v>31158.07</v>
      </c>
      <c r="J65" s="137" t="e">
        <f t="shared" si="2"/>
        <v>#DIV/0!</v>
      </c>
      <c r="K65" s="148"/>
      <c r="L65" s="88">
        <v>27747.04</v>
      </c>
      <c r="M65" s="89" t="e">
        <f t="shared" si="4"/>
        <v>#DIV/0!</v>
      </c>
      <c r="N65" s="88"/>
      <c r="O65" s="88">
        <v>31443.39</v>
      </c>
      <c r="P65" s="89" t="e">
        <f t="shared" si="21"/>
        <v>#DIV/0!</v>
      </c>
      <c r="Q65" s="200">
        <f>N65+K65+H65</f>
        <v>0</v>
      </c>
      <c r="R65" s="200"/>
      <c r="S65" s="200">
        <v>31470.9</v>
      </c>
      <c r="T65" s="200">
        <v>36135.84</v>
      </c>
      <c r="U65" s="200">
        <f>37311.85+40283.73</f>
        <v>77595.58</v>
      </c>
      <c r="V65" s="200">
        <v>0</v>
      </c>
      <c r="W65" s="421">
        <v>44776.32</v>
      </c>
      <c r="X65" s="425">
        <v>43638.81</v>
      </c>
      <c r="Y65" s="235">
        <v>0</v>
      </c>
      <c r="Z65" s="235">
        <v>0</v>
      </c>
      <c r="AA65" s="425">
        <v>0</v>
      </c>
      <c r="AB65" s="238">
        <f>+I65+L65+O65+S65+T65+U65+V65+W65+X65+Y65+Z65+AA65</f>
        <v>323965.95</v>
      </c>
      <c r="AC65" s="443" t="e">
        <f t="shared" si="23"/>
        <v>#DIV/0!</v>
      </c>
      <c r="AD65" s="88"/>
      <c r="AE65" s="97"/>
      <c r="AF65" s="89" t="e">
        <f t="shared" si="5"/>
        <v>#DIV/0!</v>
      </c>
      <c r="AG65" s="88"/>
      <c r="AH65" s="97"/>
      <c r="AI65" s="89" t="e">
        <f t="shared" si="6"/>
        <v>#DIV/0!</v>
      </c>
      <c r="AJ65" s="88"/>
      <c r="AK65" s="97"/>
      <c r="AL65" s="89" t="e">
        <f t="shared" si="7"/>
        <v>#DIV/0!</v>
      </c>
      <c r="AM65" s="200">
        <f aca="true" t="shared" si="64" ref="AM65:AN67">AJ65+AG65+AD65</f>
        <v>0</v>
      </c>
      <c r="AN65" s="200">
        <f t="shared" si="64"/>
        <v>0</v>
      </c>
      <c r="AO65" s="204" t="e">
        <f t="shared" si="56"/>
        <v>#DIV/0!</v>
      </c>
      <c r="AP65" s="88"/>
      <c r="AQ65" s="97"/>
      <c r="AR65" s="98" t="e">
        <f t="shared" si="9"/>
        <v>#DIV/0!</v>
      </c>
      <c r="AS65" s="88"/>
      <c r="AT65" s="97"/>
      <c r="AU65" s="99" t="e">
        <f t="shared" si="10"/>
        <v>#DIV/0!</v>
      </c>
      <c r="AV65" s="86"/>
      <c r="AW65" s="86"/>
      <c r="AX65" s="100" t="e">
        <f t="shared" si="11"/>
        <v>#DIV/0!</v>
      </c>
      <c r="AY65" s="88">
        <f aca="true" t="shared" si="65" ref="AY65:AZ67">AV65+AS65+AP65</f>
        <v>0</v>
      </c>
      <c r="AZ65" s="88">
        <f t="shared" si="65"/>
        <v>0</v>
      </c>
      <c r="BA65" s="204" t="e">
        <f t="shared" si="57"/>
        <v>#DIV/0!</v>
      </c>
      <c r="BB65" s="88"/>
      <c r="BC65" s="88"/>
      <c r="BD65" s="100" t="e">
        <f t="shared" si="14"/>
        <v>#DIV/0!</v>
      </c>
      <c r="BE65" s="88"/>
      <c r="BF65" s="88"/>
      <c r="BG65" s="100" t="e">
        <f t="shared" si="15"/>
        <v>#DIV/0!</v>
      </c>
      <c r="BH65" s="88"/>
      <c r="BI65" s="97"/>
      <c r="BJ65" s="99" t="e">
        <f t="shared" si="16"/>
        <v>#DIV/0!</v>
      </c>
      <c r="BK65" s="200">
        <f aca="true" t="shared" si="66" ref="BK65:BL67">BH65+BE65+BB65</f>
        <v>0</v>
      </c>
      <c r="BL65" s="200">
        <f t="shared" si="66"/>
        <v>0</v>
      </c>
      <c r="BM65" s="204" t="e">
        <f t="shared" si="58"/>
        <v>#DIV/0!</v>
      </c>
      <c r="BN65" s="97">
        <f>I65+L65+O65+AE65+AH65+AK65+AQ65+AT65+AW65+BC65+BF65+BI65</f>
        <v>90348.5</v>
      </c>
      <c r="BO65" s="134">
        <f t="shared" si="18"/>
        <v>0.20077444444444445</v>
      </c>
      <c r="BP65" s="197">
        <f t="shared" si="1"/>
        <v>126034.04999999999</v>
      </c>
    </row>
    <row r="66" spans="1:68" ht="13.5" thickBot="1">
      <c r="A66" s="102">
        <v>2</v>
      </c>
      <c r="B66" s="103">
        <v>2</v>
      </c>
      <c r="C66" s="103">
        <v>1</v>
      </c>
      <c r="D66" s="103">
        <v>7</v>
      </c>
      <c r="E66" s="202"/>
      <c r="F66" s="155" t="s">
        <v>2</v>
      </c>
      <c r="G66" s="82">
        <v>7000</v>
      </c>
      <c r="H66" s="82"/>
      <c r="I66" s="131">
        <v>473</v>
      </c>
      <c r="J66" s="138" t="e">
        <f t="shared" si="2"/>
        <v>#DIV/0!</v>
      </c>
      <c r="K66" s="203"/>
      <c r="L66" s="82">
        <v>473</v>
      </c>
      <c r="M66" s="89" t="e">
        <f t="shared" si="4"/>
        <v>#DIV/0!</v>
      </c>
      <c r="N66" s="82"/>
      <c r="O66" s="82">
        <v>0</v>
      </c>
      <c r="P66" s="89" t="e">
        <f t="shared" si="21"/>
        <v>#DIV/0!</v>
      </c>
      <c r="Q66" s="200">
        <f>N66+K66+H66</f>
        <v>0</v>
      </c>
      <c r="R66" s="200"/>
      <c r="S66" s="208">
        <v>0</v>
      </c>
      <c r="T66" s="208">
        <v>0</v>
      </c>
      <c r="U66" s="208">
        <v>0</v>
      </c>
      <c r="V66" s="208">
        <v>0</v>
      </c>
      <c r="W66" s="423">
        <v>0</v>
      </c>
      <c r="X66" s="427">
        <v>0</v>
      </c>
      <c r="Y66" s="239">
        <v>0</v>
      </c>
      <c r="Z66" s="239">
        <v>0</v>
      </c>
      <c r="AA66" s="427">
        <v>0</v>
      </c>
      <c r="AB66" s="232">
        <f>+I66+L66+O66+S66+T66+U66+V66+W66+X66+Y66+Z66+AA66</f>
        <v>946</v>
      </c>
      <c r="AC66" s="443" t="e">
        <f t="shared" si="23"/>
        <v>#DIV/0!</v>
      </c>
      <c r="AD66" s="82"/>
      <c r="AE66" s="131"/>
      <c r="AF66" s="89" t="e">
        <f t="shared" si="5"/>
        <v>#DIV/0!</v>
      </c>
      <c r="AG66" s="82"/>
      <c r="AH66" s="131"/>
      <c r="AI66" s="89" t="e">
        <f t="shared" si="6"/>
        <v>#DIV/0!</v>
      </c>
      <c r="AJ66" s="82"/>
      <c r="AK66" s="131"/>
      <c r="AL66" s="89" t="e">
        <f t="shared" si="7"/>
        <v>#DIV/0!</v>
      </c>
      <c r="AM66" s="200">
        <f t="shared" si="64"/>
        <v>0</v>
      </c>
      <c r="AN66" s="200">
        <f t="shared" si="64"/>
        <v>0</v>
      </c>
      <c r="AO66" s="204" t="e">
        <f t="shared" si="56"/>
        <v>#DIV/0!</v>
      </c>
      <c r="AP66" s="82"/>
      <c r="AQ66" s="131"/>
      <c r="AR66" s="98" t="e">
        <f t="shared" si="9"/>
        <v>#DIV/0!</v>
      </c>
      <c r="AS66" s="82"/>
      <c r="AT66" s="131"/>
      <c r="AU66" s="99" t="e">
        <f t="shared" si="10"/>
        <v>#DIV/0!</v>
      </c>
      <c r="AV66" s="87"/>
      <c r="AW66" s="87"/>
      <c r="AX66" s="100" t="e">
        <f t="shared" si="11"/>
        <v>#DIV/0!</v>
      </c>
      <c r="AY66" s="88">
        <f t="shared" si="65"/>
        <v>0</v>
      </c>
      <c r="AZ66" s="88">
        <f t="shared" si="65"/>
        <v>0</v>
      </c>
      <c r="BA66" s="204" t="e">
        <f t="shared" si="57"/>
        <v>#DIV/0!</v>
      </c>
      <c r="BB66" s="82"/>
      <c r="BC66" s="82"/>
      <c r="BD66" s="100" t="e">
        <f t="shared" si="14"/>
        <v>#DIV/0!</v>
      </c>
      <c r="BE66" s="82"/>
      <c r="BF66" s="82"/>
      <c r="BG66" s="100" t="e">
        <f t="shared" si="15"/>
        <v>#DIV/0!</v>
      </c>
      <c r="BH66" s="82"/>
      <c r="BI66" s="131"/>
      <c r="BJ66" s="99" t="e">
        <f t="shared" si="16"/>
        <v>#DIV/0!</v>
      </c>
      <c r="BK66" s="200">
        <f t="shared" si="66"/>
        <v>0</v>
      </c>
      <c r="BL66" s="200">
        <f t="shared" si="66"/>
        <v>0</v>
      </c>
      <c r="BM66" s="204" t="e">
        <f t="shared" si="58"/>
        <v>#DIV/0!</v>
      </c>
      <c r="BN66" s="97">
        <f>I66+L66+O66+AE66+AH66+AK66+AQ66+AT66+AW66+BC66+BF66+BI66</f>
        <v>946</v>
      </c>
      <c r="BO66" s="134">
        <f t="shared" si="18"/>
        <v>0.13514285714285715</v>
      </c>
      <c r="BP66" s="197">
        <f t="shared" si="1"/>
        <v>6054</v>
      </c>
    </row>
    <row r="67" spans="1:69" ht="13.5" thickBot="1">
      <c r="A67" s="102">
        <v>2</v>
      </c>
      <c r="B67" s="103">
        <v>2</v>
      </c>
      <c r="C67" s="103">
        <v>1</v>
      </c>
      <c r="D67" s="103">
        <v>8</v>
      </c>
      <c r="E67" s="202"/>
      <c r="F67" s="155" t="s">
        <v>194</v>
      </c>
      <c r="G67" s="82">
        <v>22000</v>
      </c>
      <c r="H67" s="82"/>
      <c r="I67" s="131">
        <v>1656</v>
      </c>
      <c r="J67" s="138" t="e">
        <f t="shared" si="2"/>
        <v>#DIV/0!</v>
      </c>
      <c r="K67" s="203"/>
      <c r="L67" s="82">
        <v>1851</v>
      </c>
      <c r="M67" s="89" t="e">
        <f t="shared" si="4"/>
        <v>#DIV/0!</v>
      </c>
      <c r="N67" s="82"/>
      <c r="O67" s="82">
        <v>1656</v>
      </c>
      <c r="P67" s="89" t="e">
        <f t="shared" si="21"/>
        <v>#DIV/0!</v>
      </c>
      <c r="Q67" s="200">
        <f>N67+K67+H67</f>
        <v>0</v>
      </c>
      <c r="R67" s="200"/>
      <c r="S67" s="208">
        <v>1656</v>
      </c>
      <c r="T67" s="208">
        <v>1656</v>
      </c>
      <c r="U67" s="208">
        <v>1851</v>
      </c>
      <c r="V67" s="208">
        <v>1751</v>
      </c>
      <c r="W67" s="423">
        <v>1656</v>
      </c>
      <c r="X67" s="427">
        <v>1656</v>
      </c>
      <c r="Y67" s="239">
        <v>0</v>
      </c>
      <c r="Z67" s="239">
        <v>0</v>
      </c>
      <c r="AA67" s="427">
        <v>0</v>
      </c>
      <c r="AB67" s="232">
        <f>+I67+L67+O67+S67+T67+U67+V67+W67+X67+Y67+Z67+AA67</f>
        <v>15389</v>
      </c>
      <c r="AC67" s="443" t="e">
        <f t="shared" si="23"/>
        <v>#DIV/0!</v>
      </c>
      <c r="AD67" s="82"/>
      <c r="AE67" s="131"/>
      <c r="AF67" s="89" t="e">
        <f t="shared" si="5"/>
        <v>#DIV/0!</v>
      </c>
      <c r="AG67" s="82"/>
      <c r="AH67" s="131"/>
      <c r="AI67" s="89" t="e">
        <f t="shared" si="6"/>
        <v>#DIV/0!</v>
      </c>
      <c r="AJ67" s="82"/>
      <c r="AK67" s="131"/>
      <c r="AL67" s="89" t="e">
        <f t="shared" si="7"/>
        <v>#DIV/0!</v>
      </c>
      <c r="AM67" s="200">
        <f t="shared" si="64"/>
        <v>0</v>
      </c>
      <c r="AN67" s="200">
        <f t="shared" si="64"/>
        <v>0</v>
      </c>
      <c r="AO67" s="204" t="e">
        <f t="shared" si="56"/>
        <v>#DIV/0!</v>
      </c>
      <c r="AP67" s="82"/>
      <c r="AQ67" s="131"/>
      <c r="AR67" s="98" t="e">
        <f t="shared" si="9"/>
        <v>#DIV/0!</v>
      </c>
      <c r="AS67" s="82"/>
      <c r="AT67" s="131"/>
      <c r="AU67" s="99" t="e">
        <f t="shared" si="10"/>
        <v>#DIV/0!</v>
      </c>
      <c r="AV67" s="87"/>
      <c r="AW67" s="87"/>
      <c r="AX67" s="100" t="e">
        <f t="shared" si="11"/>
        <v>#DIV/0!</v>
      </c>
      <c r="AY67" s="88">
        <f t="shared" si="65"/>
        <v>0</v>
      </c>
      <c r="AZ67" s="88">
        <f t="shared" si="65"/>
        <v>0</v>
      </c>
      <c r="BA67" s="204" t="e">
        <f t="shared" si="57"/>
        <v>#DIV/0!</v>
      </c>
      <c r="BB67" s="82"/>
      <c r="BC67" s="82"/>
      <c r="BD67" s="100" t="e">
        <f t="shared" si="14"/>
        <v>#DIV/0!</v>
      </c>
      <c r="BE67" s="82"/>
      <c r="BF67" s="82"/>
      <c r="BG67" s="100" t="e">
        <f t="shared" si="15"/>
        <v>#DIV/0!</v>
      </c>
      <c r="BH67" s="82"/>
      <c r="BI67" s="131"/>
      <c r="BJ67" s="99" t="e">
        <f t="shared" si="16"/>
        <v>#DIV/0!</v>
      </c>
      <c r="BK67" s="200">
        <f t="shared" si="66"/>
        <v>0</v>
      </c>
      <c r="BL67" s="200">
        <f t="shared" si="66"/>
        <v>0</v>
      </c>
      <c r="BM67" s="204" t="e">
        <f t="shared" si="58"/>
        <v>#DIV/0!</v>
      </c>
      <c r="BN67" s="131">
        <f>+I67+L67+O67+S67+T67+U67</f>
        <v>10326</v>
      </c>
      <c r="BO67" s="134">
        <f t="shared" si="18"/>
        <v>0.46936363636363637</v>
      </c>
      <c r="BP67" s="197">
        <f t="shared" si="1"/>
        <v>6611</v>
      </c>
      <c r="BQ67" s="78"/>
    </row>
    <row r="68" spans="1:68" s="78" customFormat="1" ht="13.5" thickBot="1">
      <c r="A68" s="102"/>
      <c r="B68" s="103"/>
      <c r="C68" s="103"/>
      <c r="D68" s="103"/>
      <c r="E68" s="104"/>
      <c r="F68" s="155"/>
      <c r="G68" s="82"/>
      <c r="H68" s="82"/>
      <c r="I68" s="97"/>
      <c r="J68" s="138"/>
      <c r="K68" s="148"/>
      <c r="L68" s="88"/>
      <c r="M68" s="89"/>
      <c r="N68" s="88"/>
      <c r="O68" s="88"/>
      <c r="P68" s="89"/>
      <c r="Q68" s="200"/>
      <c r="R68" s="200"/>
      <c r="S68" s="200"/>
      <c r="T68" s="200"/>
      <c r="U68" s="200"/>
      <c r="V68" s="200"/>
      <c r="W68" s="421"/>
      <c r="X68" s="425"/>
      <c r="Y68" s="235"/>
      <c r="Z68" s="235"/>
      <c r="AA68" s="425"/>
      <c r="AB68" s="232">
        <f>+I68+L68+O68+S68+T68+U68+V68+W68+X68+Y68</f>
        <v>0</v>
      </c>
      <c r="AC68" s="443"/>
      <c r="AD68" s="82"/>
      <c r="AE68" s="97"/>
      <c r="AF68" s="89"/>
      <c r="AG68" s="82"/>
      <c r="AH68" s="97"/>
      <c r="AI68" s="89"/>
      <c r="AJ68" s="82"/>
      <c r="AK68" s="97"/>
      <c r="AL68" s="89"/>
      <c r="AM68" s="200"/>
      <c r="AN68" s="200"/>
      <c r="AO68" s="204"/>
      <c r="AP68" s="82"/>
      <c r="AQ68" s="97"/>
      <c r="AR68" s="98"/>
      <c r="AS68" s="82"/>
      <c r="AT68" s="97"/>
      <c r="AU68" s="99"/>
      <c r="AV68" s="86"/>
      <c r="AW68" s="86"/>
      <c r="AX68" s="100"/>
      <c r="AY68" s="88"/>
      <c r="AZ68" s="88"/>
      <c r="BA68" s="204"/>
      <c r="BB68" s="88"/>
      <c r="BC68" s="88"/>
      <c r="BD68" s="100"/>
      <c r="BE68" s="88"/>
      <c r="BF68" s="88"/>
      <c r="BG68" s="100"/>
      <c r="BH68" s="88"/>
      <c r="BI68" s="97"/>
      <c r="BJ68" s="99"/>
      <c r="BK68" s="200"/>
      <c r="BL68" s="200"/>
      <c r="BM68" s="204"/>
      <c r="BN68" s="131"/>
      <c r="BO68" s="134"/>
      <c r="BP68" s="197">
        <f t="shared" si="1"/>
        <v>0</v>
      </c>
    </row>
    <row r="69" spans="1:68" s="76" customFormat="1" ht="23.25" customHeight="1" thickBot="1">
      <c r="A69" s="102">
        <v>2</v>
      </c>
      <c r="B69" s="103">
        <v>2</v>
      </c>
      <c r="C69" s="103">
        <v>2</v>
      </c>
      <c r="D69" s="84"/>
      <c r="E69" s="104"/>
      <c r="F69" s="156" t="s">
        <v>159</v>
      </c>
      <c r="G69" s="215">
        <f>+G70+G71</f>
        <v>576000</v>
      </c>
      <c r="H69" s="215">
        <f>+H70+H71</f>
        <v>0</v>
      </c>
      <c r="I69" s="216">
        <f>+I70+I71</f>
        <v>0</v>
      </c>
      <c r="J69" s="217" t="e">
        <f t="shared" si="2"/>
        <v>#DIV/0!</v>
      </c>
      <c r="K69" s="218">
        <f>+K70+K71</f>
        <v>0</v>
      </c>
      <c r="L69" s="215">
        <f>+L70+L71</f>
        <v>0</v>
      </c>
      <c r="M69" s="89" t="e">
        <f t="shared" si="4"/>
        <v>#DIV/0!</v>
      </c>
      <c r="N69" s="215">
        <f>+N70+N71</f>
        <v>0</v>
      </c>
      <c r="O69" s="215">
        <f>+O70+O71</f>
        <v>43719</v>
      </c>
      <c r="P69" s="215" t="e">
        <f aca="true" t="shared" si="67" ref="P69:Z69">+P70+P71</f>
        <v>#DIV/0!</v>
      </c>
      <c r="Q69" s="215">
        <f t="shared" si="67"/>
        <v>0</v>
      </c>
      <c r="R69" s="215">
        <f t="shared" si="67"/>
        <v>0</v>
      </c>
      <c r="S69" s="215">
        <f t="shared" si="67"/>
        <v>0</v>
      </c>
      <c r="T69" s="215">
        <f t="shared" si="67"/>
        <v>26178.3</v>
      </c>
      <c r="U69" s="215">
        <f t="shared" si="67"/>
        <v>128596.40000000001</v>
      </c>
      <c r="V69" s="215">
        <f t="shared" si="67"/>
        <v>48266.72</v>
      </c>
      <c r="W69" s="215">
        <f>+W70+W71</f>
        <v>21476</v>
      </c>
      <c r="X69" s="216">
        <f t="shared" si="67"/>
        <v>23983.5</v>
      </c>
      <c r="Y69" s="429">
        <f t="shared" si="67"/>
        <v>0</v>
      </c>
      <c r="Z69" s="429">
        <f t="shared" si="67"/>
        <v>0</v>
      </c>
      <c r="AA69" s="441">
        <f>+AA70+AA71</f>
        <v>0</v>
      </c>
      <c r="AB69" s="232">
        <f>AB70+AB71</f>
        <v>292219.92000000004</v>
      </c>
      <c r="AC69" s="443" t="e">
        <f t="shared" si="23"/>
        <v>#DIV/0!</v>
      </c>
      <c r="AD69" s="215">
        <f>+AD70+AD71</f>
        <v>0</v>
      </c>
      <c r="AE69" s="216">
        <f>+AE70+AE71</f>
        <v>0</v>
      </c>
      <c r="AF69" s="89" t="e">
        <f t="shared" si="5"/>
        <v>#DIV/0!</v>
      </c>
      <c r="AG69" s="215">
        <f>+AG70+AG71</f>
        <v>0</v>
      </c>
      <c r="AH69" s="216">
        <f>+AH70+AH71</f>
        <v>0</v>
      </c>
      <c r="AI69" s="89" t="e">
        <f t="shared" si="6"/>
        <v>#DIV/0!</v>
      </c>
      <c r="AJ69" s="215">
        <f>+AJ70+AJ71</f>
        <v>0</v>
      </c>
      <c r="AK69" s="216">
        <f>+AK70+AK71</f>
        <v>0</v>
      </c>
      <c r="AL69" s="89" t="e">
        <f t="shared" si="7"/>
        <v>#DIV/0!</v>
      </c>
      <c r="AM69" s="215">
        <f>+AM70+AM71</f>
        <v>0</v>
      </c>
      <c r="AN69" s="215">
        <f>+AN70+AN71</f>
        <v>0</v>
      </c>
      <c r="AO69" s="204" t="e">
        <f t="shared" si="56"/>
        <v>#DIV/0!</v>
      </c>
      <c r="AP69" s="215">
        <f>+AP70+AP71</f>
        <v>0</v>
      </c>
      <c r="AQ69" s="216">
        <f>+AQ70+AQ71</f>
        <v>0</v>
      </c>
      <c r="AR69" s="98" t="e">
        <f t="shared" si="9"/>
        <v>#DIV/0!</v>
      </c>
      <c r="AS69" s="215">
        <f>+AS70+AS71</f>
        <v>0</v>
      </c>
      <c r="AT69" s="216">
        <f>+AT70+AT71</f>
        <v>0</v>
      </c>
      <c r="AU69" s="99" t="e">
        <f t="shared" si="10"/>
        <v>#DIV/0!</v>
      </c>
      <c r="AV69" s="215">
        <f>+AV70+AV71</f>
        <v>0</v>
      </c>
      <c r="AW69" s="215">
        <f>+AW70+AW71</f>
        <v>0</v>
      </c>
      <c r="AX69" s="100" t="e">
        <f t="shared" si="11"/>
        <v>#DIV/0!</v>
      </c>
      <c r="AY69" s="215">
        <f>+AY70+AY71</f>
        <v>0</v>
      </c>
      <c r="AZ69" s="215">
        <f>+AZ70+AZ71</f>
        <v>0</v>
      </c>
      <c r="BA69" s="204" t="e">
        <f>AZ69/AY69</f>
        <v>#DIV/0!</v>
      </c>
      <c r="BB69" s="215"/>
      <c r="BC69" s="215"/>
      <c r="BD69" s="100" t="e">
        <f t="shared" si="14"/>
        <v>#DIV/0!</v>
      </c>
      <c r="BE69" s="215"/>
      <c r="BF69" s="215"/>
      <c r="BG69" s="100" t="e">
        <f t="shared" si="15"/>
        <v>#DIV/0!</v>
      </c>
      <c r="BH69" s="215">
        <f>+BH70+BH71</f>
        <v>0</v>
      </c>
      <c r="BI69" s="216">
        <f>+BI70+BI71</f>
        <v>0</v>
      </c>
      <c r="BJ69" s="99" t="e">
        <f t="shared" si="16"/>
        <v>#DIV/0!</v>
      </c>
      <c r="BK69" s="215">
        <f>+BK70+BK71</f>
        <v>0</v>
      </c>
      <c r="BL69" s="215">
        <f>+BL70+BL71</f>
        <v>0</v>
      </c>
      <c r="BM69" s="204" t="e">
        <f>BL69/BK69</f>
        <v>#DIV/0!</v>
      </c>
      <c r="BN69" s="216">
        <f>+BN70+BN71</f>
        <v>128596.40000000001</v>
      </c>
      <c r="BO69" s="134">
        <f t="shared" si="18"/>
        <v>0.22325763888888892</v>
      </c>
      <c r="BP69" s="197">
        <f t="shared" si="1"/>
        <v>283780.07999999996</v>
      </c>
    </row>
    <row r="70" spans="1:68" ht="13.5" thickBot="1">
      <c r="A70" s="102">
        <v>2</v>
      </c>
      <c r="B70" s="103">
        <v>2</v>
      </c>
      <c r="C70" s="103">
        <v>2</v>
      </c>
      <c r="D70" s="103">
        <v>1</v>
      </c>
      <c r="E70" s="202" t="s">
        <v>261</v>
      </c>
      <c r="F70" s="156" t="s">
        <v>30</v>
      </c>
      <c r="G70" s="82">
        <f>50000-6000</f>
        <v>44000</v>
      </c>
      <c r="H70" s="82"/>
      <c r="I70" s="131"/>
      <c r="J70" s="138" t="e">
        <f t="shared" si="2"/>
        <v>#DIV/0!</v>
      </c>
      <c r="K70" s="203"/>
      <c r="L70" s="82"/>
      <c r="M70" s="89" t="e">
        <f t="shared" si="4"/>
        <v>#DIV/0!</v>
      </c>
      <c r="N70" s="82"/>
      <c r="O70" s="82"/>
      <c r="P70" s="89" t="e">
        <f t="shared" si="21"/>
        <v>#DIV/0!</v>
      </c>
      <c r="Q70" s="200">
        <f>N70+K70+H70</f>
        <v>0</v>
      </c>
      <c r="R70" s="200"/>
      <c r="S70" s="200"/>
      <c r="T70" s="200"/>
      <c r="U70" s="200">
        <v>0</v>
      </c>
      <c r="V70" s="209"/>
      <c r="W70" s="422"/>
      <c r="X70" s="425"/>
      <c r="Y70" s="235"/>
      <c r="Z70" s="235"/>
      <c r="AA70" s="425"/>
      <c r="AB70" s="232">
        <f>+I70+L70+O70+S70+T70+U70+V70+W70+X70+Y70+Z70+AA70</f>
        <v>0</v>
      </c>
      <c r="AC70" s="443" t="e">
        <f t="shared" si="23"/>
        <v>#DIV/0!</v>
      </c>
      <c r="AD70" s="82"/>
      <c r="AE70" s="131"/>
      <c r="AF70" s="89" t="e">
        <f t="shared" si="5"/>
        <v>#DIV/0!</v>
      </c>
      <c r="AG70" s="82"/>
      <c r="AH70" s="131"/>
      <c r="AI70" s="89" t="e">
        <f t="shared" si="6"/>
        <v>#DIV/0!</v>
      </c>
      <c r="AJ70" s="82"/>
      <c r="AK70" s="131"/>
      <c r="AL70" s="89" t="e">
        <f t="shared" si="7"/>
        <v>#DIV/0!</v>
      </c>
      <c r="AM70" s="200">
        <f>AJ70+AG70+AD70</f>
        <v>0</v>
      </c>
      <c r="AN70" s="200">
        <f>AK70+AH70+AE70</f>
        <v>0</v>
      </c>
      <c r="AO70" s="204" t="e">
        <f t="shared" si="56"/>
        <v>#DIV/0!</v>
      </c>
      <c r="AP70" s="82"/>
      <c r="AQ70" s="131"/>
      <c r="AR70" s="98" t="e">
        <f t="shared" si="9"/>
        <v>#DIV/0!</v>
      </c>
      <c r="AS70" s="82"/>
      <c r="AT70" s="131"/>
      <c r="AU70" s="99" t="e">
        <f t="shared" si="10"/>
        <v>#DIV/0!</v>
      </c>
      <c r="AV70" s="87"/>
      <c r="AW70" s="87"/>
      <c r="AX70" s="100" t="e">
        <f t="shared" si="11"/>
        <v>#DIV/0!</v>
      </c>
      <c r="AY70" s="88">
        <f>AV70+AS70+AP70</f>
        <v>0</v>
      </c>
      <c r="AZ70" s="88">
        <f>AW70+AT70+AQ70</f>
        <v>0</v>
      </c>
      <c r="BA70" s="204" t="e">
        <f>AZ70/AY70</f>
        <v>#DIV/0!</v>
      </c>
      <c r="BB70" s="82"/>
      <c r="BC70" s="82"/>
      <c r="BD70" s="100" t="e">
        <f t="shared" si="14"/>
        <v>#DIV/0!</v>
      </c>
      <c r="BE70" s="82"/>
      <c r="BF70" s="82"/>
      <c r="BG70" s="100" t="e">
        <f t="shared" si="15"/>
        <v>#DIV/0!</v>
      </c>
      <c r="BH70" s="82"/>
      <c r="BI70" s="131"/>
      <c r="BJ70" s="99" t="e">
        <f t="shared" si="16"/>
        <v>#DIV/0!</v>
      </c>
      <c r="BK70" s="200">
        <f>BH70+BE70+BB70</f>
        <v>0</v>
      </c>
      <c r="BL70" s="200">
        <f>BI70+BF70+BC70</f>
        <v>0</v>
      </c>
      <c r="BM70" s="204" t="e">
        <f>BL70/BK70</f>
        <v>#DIV/0!</v>
      </c>
      <c r="BN70" s="97">
        <f>I70+L70+O70+AE70+AH70+AK70+AQ70+AT70+AW70+BC70+BF70+BI70</f>
        <v>0</v>
      </c>
      <c r="BO70" s="134">
        <f t="shared" si="18"/>
        <v>0</v>
      </c>
      <c r="BP70" s="197">
        <f t="shared" si="1"/>
        <v>44000</v>
      </c>
    </row>
    <row r="71" spans="1:68" ht="13.5" thickBot="1">
      <c r="A71" s="219">
        <v>2</v>
      </c>
      <c r="B71" s="220">
        <v>2</v>
      </c>
      <c r="C71" s="220">
        <v>2</v>
      </c>
      <c r="D71" s="220">
        <v>2</v>
      </c>
      <c r="E71" s="221" t="s">
        <v>261</v>
      </c>
      <c r="F71" s="222" t="s">
        <v>71</v>
      </c>
      <c r="G71" s="223">
        <f>982000-190000-260000</f>
        <v>532000</v>
      </c>
      <c r="H71" s="223"/>
      <c r="I71" s="224"/>
      <c r="J71" s="176" t="e">
        <f t="shared" si="2"/>
        <v>#DIV/0!</v>
      </c>
      <c r="K71" s="225"/>
      <c r="L71" s="223">
        <v>0</v>
      </c>
      <c r="M71" s="178" t="e">
        <f t="shared" si="4"/>
        <v>#DIV/0!</v>
      </c>
      <c r="N71" s="223">
        <v>0</v>
      </c>
      <c r="O71" s="174">
        <v>43719</v>
      </c>
      <c r="P71" s="178" t="e">
        <f t="shared" si="21"/>
        <v>#DIV/0!</v>
      </c>
      <c r="Q71" s="226">
        <f>N71+K71+H71</f>
        <v>0</v>
      </c>
      <c r="R71" s="226"/>
      <c r="S71" s="226"/>
      <c r="T71" s="226">
        <v>26178.3</v>
      </c>
      <c r="U71" s="226">
        <f>16992+67968+16425.6+18478.8+8732</f>
        <v>128596.40000000001</v>
      </c>
      <c r="V71" s="466">
        <f>38000.72+10266</f>
        <v>48266.72</v>
      </c>
      <c r="W71" s="466">
        <f>21476</f>
        <v>21476</v>
      </c>
      <c r="X71" s="433">
        <v>23983.5</v>
      </c>
      <c r="Y71" s="235">
        <v>0</v>
      </c>
      <c r="Z71" s="235"/>
      <c r="AA71" s="425">
        <v>0</v>
      </c>
      <c r="AB71" s="238">
        <f>+I71+L71+S71+T71+U71+V71+W71+X71+Y71+O71+Z71+AA71</f>
        <v>292219.92000000004</v>
      </c>
      <c r="AC71" s="447" t="e">
        <f t="shared" si="23"/>
        <v>#DIV/0!</v>
      </c>
      <c r="AD71" s="223"/>
      <c r="AE71" s="224"/>
      <c r="AF71" s="178" t="e">
        <f t="shared" si="5"/>
        <v>#DIV/0!</v>
      </c>
      <c r="AG71" s="223"/>
      <c r="AH71" s="224"/>
      <c r="AI71" s="178" t="e">
        <f t="shared" si="6"/>
        <v>#DIV/0!</v>
      </c>
      <c r="AJ71" s="223"/>
      <c r="AK71" s="224"/>
      <c r="AL71" s="178" t="e">
        <f t="shared" si="7"/>
        <v>#DIV/0!</v>
      </c>
      <c r="AM71" s="226">
        <f>AJ71+AG71+AD71</f>
        <v>0</v>
      </c>
      <c r="AN71" s="226">
        <f>AK71+AH71+AE71</f>
        <v>0</v>
      </c>
      <c r="AO71" s="227" t="e">
        <f t="shared" si="56"/>
        <v>#DIV/0!</v>
      </c>
      <c r="AP71" s="223"/>
      <c r="AQ71" s="224"/>
      <c r="AR71" s="179" t="e">
        <f t="shared" si="9"/>
        <v>#DIV/0!</v>
      </c>
      <c r="AS71" s="223"/>
      <c r="AT71" s="224"/>
      <c r="AU71" s="180" t="e">
        <f t="shared" si="10"/>
        <v>#DIV/0!</v>
      </c>
      <c r="AV71" s="228"/>
      <c r="AW71" s="228"/>
      <c r="AX71" s="182" t="e">
        <f t="shared" si="11"/>
        <v>#DIV/0!</v>
      </c>
      <c r="AY71" s="174">
        <f>AV71+AS71+AP71</f>
        <v>0</v>
      </c>
      <c r="AZ71" s="174">
        <f>AW71+AT71+AQ71</f>
        <v>0</v>
      </c>
      <c r="BA71" s="227" t="e">
        <f>AZ71/AY71</f>
        <v>#DIV/0!</v>
      </c>
      <c r="BB71" s="223"/>
      <c r="BC71" s="223"/>
      <c r="BD71" s="182" t="e">
        <f t="shared" si="14"/>
        <v>#DIV/0!</v>
      </c>
      <c r="BE71" s="223"/>
      <c r="BF71" s="223"/>
      <c r="BG71" s="182" t="e">
        <f t="shared" si="15"/>
        <v>#DIV/0!</v>
      </c>
      <c r="BH71" s="223"/>
      <c r="BI71" s="224"/>
      <c r="BJ71" s="180" t="e">
        <f t="shared" si="16"/>
        <v>#DIV/0!</v>
      </c>
      <c r="BK71" s="226">
        <f>BH71+BE71+BB71</f>
        <v>0</v>
      </c>
      <c r="BL71" s="226">
        <f>BI71+BF71+BC71</f>
        <v>0</v>
      </c>
      <c r="BM71" s="227" t="e">
        <f>BL71/BK71</f>
        <v>#DIV/0!</v>
      </c>
      <c r="BN71" s="175">
        <f>+U71</f>
        <v>128596.40000000001</v>
      </c>
      <c r="BO71" s="183">
        <f t="shared" si="18"/>
        <v>0.24172255639097745</v>
      </c>
      <c r="BP71" s="197">
        <f t="shared" si="1"/>
        <v>239780.07999999996</v>
      </c>
    </row>
    <row r="72" spans="1:68" s="78" customFormat="1" ht="13.5" thickBot="1">
      <c r="A72" s="125"/>
      <c r="B72" s="126"/>
      <c r="C72" s="126"/>
      <c r="D72" s="126"/>
      <c r="E72" s="128"/>
      <c r="F72" s="165"/>
      <c r="G72" s="81"/>
      <c r="H72" s="81"/>
      <c r="I72" s="111"/>
      <c r="J72" s="112"/>
      <c r="K72" s="113"/>
      <c r="L72" s="114"/>
      <c r="M72" s="115"/>
      <c r="N72" s="114"/>
      <c r="O72" s="114"/>
      <c r="P72" s="115"/>
      <c r="Q72" s="214"/>
      <c r="R72" s="214"/>
      <c r="S72" s="214"/>
      <c r="T72" s="214"/>
      <c r="U72" s="214"/>
      <c r="V72" s="214"/>
      <c r="W72" s="420"/>
      <c r="X72" s="425"/>
      <c r="Y72" s="235"/>
      <c r="Z72" s="235"/>
      <c r="AA72" s="425"/>
      <c r="AB72" s="238">
        <f>+I72+L72+O72+S72+T72+U72+V72+W72+X72+Y72</f>
        <v>0</v>
      </c>
      <c r="AC72" s="442"/>
      <c r="AD72" s="81"/>
      <c r="AE72" s="111"/>
      <c r="AF72" s="115"/>
      <c r="AG72" s="81"/>
      <c r="AH72" s="111"/>
      <c r="AI72" s="115"/>
      <c r="AJ72" s="81"/>
      <c r="AK72" s="111"/>
      <c r="AL72" s="115"/>
      <c r="AM72" s="214"/>
      <c r="AN72" s="214"/>
      <c r="AO72" s="201"/>
      <c r="AP72" s="81"/>
      <c r="AQ72" s="111"/>
      <c r="AR72" s="117"/>
      <c r="AS72" s="81"/>
      <c r="AT72" s="111"/>
      <c r="AU72" s="118"/>
      <c r="AV72" s="116"/>
      <c r="AW72" s="116"/>
      <c r="AX72" s="81"/>
      <c r="AY72" s="114"/>
      <c r="AZ72" s="114"/>
      <c r="BA72" s="201"/>
      <c r="BB72" s="114"/>
      <c r="BC72" s="114"/>
      <c r="BD72" s="81"/>
      <c r="BE72" s="114"/>
      <c r="BF72" s="114"/>
      <c r="BG72" s="81"/>
      <c r="BH72" s="114"/>
      <c r="BI72" s="111"/>
      <c r="BJ72" s="118"/>
      <c r="BK72" s="214"/>
      <c r="BL72" s="214"/>
      <c r="BM72" s="201"/>
      <c r="BN72" s="118"/>
      <c r="BO72" s="115"/>
      <c r="BP72" s="197">
        <f t="shared" si="1"/>
        <v>0</v>
      </c>
    </row>
    <row r="73" spans="1:68" s="76" customFormat="1" ht="13.5" thickBot="1">
      <c r="A73" s="102">
        <v>2</v>
      </c>
      <c r="B73" s="103">
        <v>2</v>
      </c>
      <c r="C73" s="103">
        <v>3</v>
      </c>
      <c r="D73" s="84"/>
      <c r="E73" s="104"/>
      <c r="F73" s="156" t="s">
        <v>225</v>
      </c>
      <c r="G73" s="82">
        <f aca="true" t="shared" si="68" ref="G73:L73">+G74+G75</f>
        <v>1551000</v>
      </c>
      <c r="H73" s="82">
        <f t="shared" si="68"/>
        <v>0</v>
      </c>
      <c r="I73" s="131">
        <f t="shared" si="68"/>
        <v>89500</v>
      </c>
      <c r="J73" s="131" t="e">
        <f t="shared" si="68"/>
        <v>#DIV/0!</v>
      </c>
      <c r="K73" s="131">
        <f t="shared" si="68"/>
        <v>0</v>
      </c>
      <c r="L73" s="131">
        <f t="shared" si="68"/>
        <v>149600</v>
      </c>
      <c r="M73" s="89" t="e">
        <f t="shared" si="4"/>
        <v>#DIV/0!</v>
      </c>
      <c r="N73" s="82">
        <f aca="true" t="shared" si="69" ref="N73:S73">+N74+N75</f>
        <v>0</v>
      </c>
      <c r="O73" s="82">
        <f t="shared" si="69"/>
        <v>193800</v>
      </c>
      <c r="P73" s="82" t="e">
        <f t="shared" si="69"/>
        <v>#DIV/0!</v>
      </c>
      <c r="Q73" s="82">
        <f t="shared" si="69"/>
        <v>0</v>
      </c>
      <c r="R73" s="82">
        <f t="shared" si="69"/>
        <v>0</v>
      </c>
      <c r="S73" s="82">
        <f t="shared" si="69"/>
        <v>129600</v>
      </c>
      <c r="T73" s="82">
        <f aca="true" t="shared" si="70" ref="T73:AA73">+T74+T75</f>
        <v>125700</v>
      </c>
      <c r="U73" s="82">
        <f t="shared" si="70"/>
        <v>108850</v>
      </c>
      <c r="V73" s="82">
        <f t="shared" si="70"/>
        <v>192700</v>
      </c>
      <c r="W73" s="131">
        <f>+W74+W75</f>
        <v>251000</v>
      </c>
      <c r="X73" s="131">
        <f t="shared" si="70"/>
        <v>197300</v>
      </c>
      <c r="Y73" s="232">
        <f t="shared" si="70"/>
        <v>0</v>
      </c>
      <c r="Z73" s="232">
        <f t="shared" si="70"/>
        <v>0</v>
      </c>
      <c r="AA73" s="426">
        <f t="shared" si="70"/>
        <v>0</v>
      </c>
      <c r="AB73" s="232">
        <f>AB74+AB75</f>
        <v>1438050</v>
      </c>
      <c r="AC73" s="443" t="e">
        <f t="shared" si="23"/>
        <v>#DIV/0!</v>
      </c>
      <c r="AD73" s="82">
        <f>+AD74+AD75</f>
        <v>62600</v>
      </c>
      <c r="AE73" s="131">
        <f>+AE74+AE75</f>
        <v>62600</v>
      </c>
      <c r="AF73" s="89">
        <f t="shared" si="5"/>
        <v>1</v>
      </c>
      <c r="AG73" s="82">
        <f>+AG74+AG75</f>
        <v>62600</v>
      </c>
      <c r="AH73" s="131">
        <f>+AH74+AH75</f>
        <v>62600</v>
      </c>
      <c r="AI73" s="89">
        <f t="shared" si="6"/>
        <v>1</v>
      </c>
      <c r="AJ73" s="82">
        <f>+AJ74+AJ75</f>
        <v>62600</v>
      </c>
      <c r="AK73" s="131">
        <f>+AK74+AK75</f>
        <v>62600</v>
      </c>
      <c r="AL73" s="89">
        <f t="shared" si="7"/>
        <v>1</v>
      </c>
      <c r="AM73" s="82">
        <f>+AM74+AM75</f>
        <v>62600</v>
      </c>
      <c r="AN73" s="82">
        <f>+AN74+AN75</f>
        <v>62600</v>
      </c>
      <c r="AO73" s="204">
        <f t="shared" si="56"/>
        <v>1</v>
      </c>
      <c r="AP73" s="82">
        <f>+AP74+AP75</f>
        <v>62600</v>
      </c>
      <c r="AQ73" s="131">
        <f>+AQ74+AQ75</f>
        <v>62600</v>
      </c>
      <c r="AR73" s="98">
        <f t="shared" si="9"/>
        <v>1</v>
      </c>
      <c r="AS73" s="82">
        <f>+AS74+AS75</f>
        <v>62600</v>
      </c>
      <c r="AT73" s="131">
        <f>+AT74+AT75</f>
        <v>62600</v>
      </c>
      <c r="AU73" s="99">
        <f t="shared" si="10"/>
        <v>1</v>
      </c>
      <c r="AV73" s="82">
        <f>+AV74+AV75</f>
        <v>62600</v>
      </c>
      <c r="AW73" s="82">
        <f>+AW74+AW75</f>
        <v>62600</v>
      </c>
      <c r="AX73" s="100">
        <f t="shared" si="11"/>
        <v>1</v>
      </c>
      <c r="AY73" s="82">
        <f>+AY74+AY75</f>
        <v>62600</v>
      </c>
      <c r="AZ73" s="82">
        <f>+AZ74+AZ75</f>
        <v>62600</v>
      </c>
      <c r="BA73" s="204">
        <f>AZ73/AY73</f>
        <v>1</v>
      </c>
      <c r="BB73" s="82"/>
      <c r="BC73" s="82"/>
      <c r="BD73" s="100" t="e">
        <f t="shared" si="14"/>
        <v>#DIV/0!</v>
      </c>
      <c r="BE73" s="82"/>
      <c r="BF73" s="82"/>
      <c r="BG73" s="100" t="e">
        <f t="shared" si="15"/>
        <v>#DIV/0!</v>
      </c>
      <c r="BH73" s="82">
        <f>+BH74+BH75</f>
        <v>62600</v>
      </c>
      <c r="BI73" s="131">
        <f>+BI74+BI75</f>
        <v>62600</v>
      </c>
      <c r="BJ73" s="99">
        <f t="shared" si="16"/>
        <v>1</v>
      </c>
      <c r="BK73" s="82">
        <f>+BK74+BK75</f>
        <v>62600</v>
      </c>
      <c r="BL73" s="82">
        <f>+BL74+BL75</f>
        <v>62600</v>
      </c>
      <c r="BM73" s="204">
        <f>BL73/BK73</f>
        <v>1</v>
      </c>
      <c r="BN73" s="131">
        <f>+BN74+BN75</f>
        <v>62600</v>
      </c>
      <c r="BO73" s="134">
        <f t="shared" si="18"/>
        <v>0.040361057382333976</v>
      </c>
      <c r="BP73" s="197">
        <f t="shared" si="1"/>
        <v>112950</v>
      </c>
    </row>
    <row r="74" spans="1:68" ht="13.5" thickBot="1">
      <c r="A74" s="102">
        <v>2</v>
      </c>
      <c r="B74" s="103">
        <v>2</v>
      </c>
      <c r="C74" s="103">
        <v>3</v>
      </c>
      <c r="D74" s="103">
        <v>1</v>
      </c>
      <c r="E74" s="202"/>
      <c r="F74" s="156" t="s">
        <v>124</v>
      </c>
      <c r="G74" s="82">
        <f>1110000+66000+150000+150000</f>
        <v>1476000</v>
      </c>
      <c r="H74" s="82"/>
      <c r="I74" s="131">
        <f>86200+3300</f>
        <v>89500</v>
      </c>
      <c r="J74" s="138" t="e">
        <f t="shared" si="2"/>
        <v>#DIV/0!</v>
      </c>
      <c r="K74" s="203"/>
      <c r="L74" s="82">
        <f>66300+83300</f>
        <v>149600</v>
      </c>
      <c r="M74" s="89" t="e">
        <f t="shared" si="4"/>
        <v>#DIV/0!</v>
      </c>
      <c r="N74" s="82"/>
      <c r="O74" s="82">
        <f>34800+96000+63000</f>
        <v>193800</v>
      </c>
      <c r="P74" s="89" t="e">
        <f t="shared" si="21"/>
        <v>#DIV/0!</v>
      </c>
      <c r="Q74" s="200">
        <f>N74+K74+H74</f>
        <v>0</v>
      </c>
      <c r="R74" s="200"/>
      <c r="S74" s="200">
        <f>129600</f>
        <v>129600</v>
      </c>
      <c r="T74" s="200">
        <f>83800+10400+31500</f>
        <v>125700</v>
      </c>
      <c r="U74" s="200">
        <f>36000+12450+60400</f>
        <v>108850</v>
      </c>
      <c r="V74" s="200">
        <f>149200+43500</f>
        <v>192700</v>
      </c>
      <c r="W74" s="421">
        <f>129800+121200</f>
        <v>251000</v>
      </c>
      <c r="X74" s="425">
        <f>182900+14400</f>
        <v>197300</v>
      </c>
      <c r="Y74" s="235">
        <v>0</v>
      </c>
      <c r="Z74" s="235">
        <v>0</v>
      </c>
      <c r="AA74" s="425">
        <v>0</v>
      </c>
      <c r="AB74" s="238">
        <f>+I74+L74+O74+S74+T74+U74+V74+W74+X74+Y74+Z74+AA74</f>
        <v>1438050</v>
      </c>
      <c r="AC74" s="205">
        <v>62600</v>
      </c>
      <c r="AD74" s="200">
        <v>62600</v>
      </c>
      <c r="AE74" s="200">
        <v>62600</v>
      </c>
      <c r="AF74" s="200">
        <v>62600</v>
      </c>
      <c r="AG74" s="200">
        <v>62600</v>
      </c>
      <c r="AH74" s="200">
        <v>62600</v>
      </c>
      <c r="AI74" s="200">
        <v>62600</v>
      </c>
      <c r="AJ74" s="200">
        <v>62600</v>
      </c>
      <c r="AK74" s="200">
        <v>62600</v>
      </c>
      <c r="AL74" s="200">
        <v>62600</v>
      </c>
      <c r="AM74" s="200">
        <v>62600</v>
      </c>
      <c r="AN74" s="200">
        <v>62600</v>
      </c>
      <c r="AO74" s="200">
        <v>62600</v>
      </c>
      <c r="AP74" s="200">
        <v>62600</v>
      </c>
      <c r="AQ74" s="200">
        <v>62600</v>
      </c>
      <c r="AR74" s="200">
        <v>62600</v>
      </c>
      <c r="AS74" s="200">
        <v>62600</v>
      </c>
      <c r="AT74" s="200">
        <v>62600</v>
      </c>
      <c r="AU74" s="200">
        <v>62600</v>
      </c>
      <c r="AV74" s="200">
        <v>62600</v>
      </c>
      <c r="AW74" s="200">
        <v>62600</v>
      </c>
      <c r="AX74" s="200">
        <v>62600</v>
      </c>
      <c r="AY74" s="200">
        <v>62600</v>
      </c>
      <c r="AZ74" s="200">
        <v>62600</v>
      </c>
      <c r="BA74" s="200">
        <v>62600</v>
      </c>
      <c r="BB74" s="200">
        <v>62600</v>
      </c>
      <c r="BC74" s="200">
        <v>62600</v>
      </c>
      <c r="BD74" s="200">
        <v>62600</v>
      </c>
      <c r="BE74" s="200">
        <v>62600</v>
      </c>
      <c r="BF74" s="200">
        <v>62600</v>
      </c>
      <c r="BG74" s="200">
        <v>62600</v>
      </c>
      <c r="BH74" s="200">
        <v>62600</v>
      </c>
      <c r="BI74" s="200">
        <v>62600</v>
      </c>
      <c r="BJ74" s="200">
        <v>62600</v>
      </c>
      <c r="BK74" s="200">
        <v>62600</v>
      </c>
      <c r="BL74" s="200">
        <v>62600</v>
      </c>
      <c r="BM74" s="200">
        <v>62600</v>
      </c>
      <c r="BN74" s="200">
        <v>62600</v>
      </c>
      <c r="BO74" s="134">
        <f t="shared" si="18"/>
        <v>0.04241192411924119</v>
      </c>
      <c r="BP74" s="197">
        <f t="shared" si="1"/>
        <v>37950</v>
      </c>
    </row>
    <row r="75" spans="1:68" ht="13.5" thickBot="1">
      <c r="A75" s="102">
        <v>2</v>
      </c>
      <c r="B75" s="103">
        <v>2</v>
      </c>
      <c r="C75" s="103">
        <v>3</v>
      </c>
      <c r="D75" s="103">
        <v>2</v>
      </c>
      <c r="E75" s="202"/>
      <c r="F75" s="156" t="s">
        <v>125</v>
      </c>
      <c r="G75" s="82">
        <v>75000</v>
      </c>
      <c r="H75" s="82"/>
      <c r="I75" s="97"/>
      <c r="J75" s="138" t="e">
        <f t="shared" si="2"/>
        <v>#DIV/0!</v>
      </c>
      <c r="K75" s="203"/>
      <c r="L75" s="82"/>
      <c r="M75" s="89" t="e">
        <f t="shared" si="4"/>
        <v>#DIV/0!</v>
      </c>
      <c r="N75" s="82"/>
      <c r="O75" s="82"/>
      <c r="P75" s="89" t="e">
        <f t="shared" si="21"/>
        <v>#DIV/0!</v>
      </c>
      <c r="Q75" s="200">
        <f>N75+K75+H75</f>
        <v>0</v>
      </c>
      <c r="R75" s="200"/>
      <c r="S75" s="200"/>
      <c r="T75" s="200"/>
      <c r="U75" s="200"/>
      <c r="V75" s="200"/>
      <c r="W75" s="421"/>
      <c r="X75" s="425"/>
      <c r="Y75" s="235"/>
      <c r="Z75" s="235"/>
      <c r="AA75" s="425"/>
      <c r="AB75" s="238">
        <f>+I75+L75+O75+S75+T75+U75+V75+W75+X75+Y75+Z75+AA75</f>
        <v>0</v>
      </c>
      <c r="AC75" s="443" t="e">
        <f t="shared" si="23"/>
        <v>#DIV/0!</v>
      </c>
      <c r="AD75" s="82"/>
      <c r="AE75" s="131"/>
      <c r="AF75" s="89" t="e">
        <f t="shared" si="5"/>
        <v>#DIV/0!</v>
      </c>
      <c r="AG75" s="82"/>
      <c r="AH75" s="131"/>
      <c r="AI75" s="89" t="e">
        <f t="shared" si="6"/>
        <v>#DIV/0!</v>
      </c>
      <c r="AJ75" s="82"/>
      <c r="AK75" s="131"/>
      <c r="AL75" s="89" t="e">
        <f t="shared" si="7"/>
        <v>#DIV/0!</v>
      </c>
      <c r="AM75" s="200">
        <f>AJ75+AG75+AD75</f>
        <v>0</v>
      </c>
      <c r="AN75" s="200">
        <f>AK75+AH75+AE75</f>
        <v>0</v>
      </c>
      <c r="AO75" s="204" t="e">
        <f t="shared" si="56"/>
        <v>#DIV/0!</v>
      </c>
      <c r="AP75" s="82"/>
      <c r="AQ75" s="131"/>
      <c r="AR75" s="98" t="e">
        <f t="shared" si="9"/>
        <v>#DIV/0!</v>
      </c>
      <c r="AS75" s="82"/>
      <c r="AT75" s="131"/>
      <c r="AU75" s="99" t="e">
        <f t="shared" si="10"/>
        <v>#DIV/0!</v>
      </c>
      <c r="AV75" s="87"/>
      <c r="AW75" s="87"/>
      <c r="AX75" s="100" t="e">
        <f t="shared" si="11"/>
        <v>#DIV/0!</v>
      </c>
      <c r="AY75" s="88">
        <f>AV75+AS75+AP75</f>
        <v>0</v>
      </c>
      <c r="AZ75" s="88">
        <f>AW75+AT75+AQ75</f>
        <v>0</v>
      </c>
      <c r="BA75" s="204" t="e">
        <f>AZ75/AY75</f>
        <v>#DIV/0!</v>
      </c>
      <c r="BB75" s="82"/>
      <c r="BC75" s="82"/>
      <c r="BD75" s="100" t="e">
        <f t="shared" si="14"/>
        <v>#DIV/0!</v>
      </c>
      <c r="BE75" s="82"/>
      <c r="BF75" s="82"/>
      <c r="BG75" s="100" t="e">
        <f t="shared" si="15"/>
        <v>#DIV/0!</v>
      </c>
      <c r="BH75" s="82"/>
      <c r="BI75" s="131"/>
      <c r="BJ75" s="99" t="e">
        <f t="shared" si="16"/>
        <v>#DIV/0!</v>
      </c>
      <c r="BK75" s="200">
        <f>BH75+BE75+BB75</f>
        <v>0</v>
      </c>
      <c r="BL75" s="200">
        <f>BI75+BF75+BC75</f>
        <v>0</v>
      </c>
      <c r="BM75" s="204" t="e">
        <f>BL75/BK75</f>
        <v>#DIV/0!</v>
      </c>
      <c r="BN75" s="175">
        <f>I75+L75+O75+AE75+AH75+AK75+AQ75+AT75+AW75+BC75+BF75+BI75</f>
        <v>0</v>
      </c>
      <c r="BO75" s="134">
        <f t="shared" si="18"/>
        <v>0</v>
      </c>
      <c r="BP75" s="197">
        <f t="shared" si="1"/>
        <v>75000</v>
      </c>
    </row>
    <row r="76" spans="1:68" s="78" customFormat="1" ht="13.5" thickBot="1">
      <c r="A76" s="102"/>
      <c r="B76" s="103"/>
      <c r="C76" s="103"/>
      <c r="D76" s="103"/>
      <c r="E76" s="104"/>
      <c r="F76" s="156"/>
      <c r="G76" s="82"/>
      <c r="H76" s="82"/>
      <c r="I76" s="97"/>
      <c r="J76" s="138"/>
      <c r="K76" s="148"/>
      <c r="L76" s="88"/>
      <c r="M76" s="89"/>
      <c r="N76" s="88"/>
      <c r="O76" s="88"/>
      <c r="P76" s="89"/>
      <c r="Q76" s="200"/>
      <c r="R76" s="200"/>
      <c r="S76" s="200"/>
      <c r="T76" s="200"/>
      <c r="U76" s="200"/>
      <c r="V76" s="200"/>
      <c r="W76" s="200"/>
      <c r="X76" s="421"/>
      <c r="Y76" s="235"/>
      <c r="Z76" s="235"/>
      <c r="AA76" s="425"/>
      <c r="AB76" s="238">
        <f>+I76+L76+O76+S76+T76+U76+V76+W76+X76+Y76+Z76</f>
        <v>0</v>
      </c>
      <c r="AC76" s="443"/>
      <c r="AD76" s="82"/>
      <c r="AE76" s="97"/>
      <c r="AF76" s="89"/>
      <c r="AG76" s="82"/>
      <c r="AH76" s="97"/>
      <c r="AI76" s="89"/>
      <c r="AJ76" s="82"/>
      <c r="AK76" s="97"/>
      <c r="AL76" s="89"/>
      <c r="AM76" s="200"/>
      <c r="AN76" s="200"/>
      <c r="AO76" s="204"/>
      <c r="AP76" s="82"/>
      <c r="AQ76" s="97"/>
      <c r="AR76" s="98"/>
      <c r="AS76" s="82"/>
      <c r="AT76" s="97"/>
      <c r="AU76" s="99"/>
      <c r="AV76" s="86"/>
      <c r="AW76" s="86"/>
      <c r="AX76" s="100"/>
      <c r="AY76" s="88"/>
      <c r="AZ76" s="88"/>
      <c r="BA76" s="204"/>
      <c r="BB76" s="88"/>
      <c r="BC76" s="88"/>
      <c r="BD76" s="100"/>
      <c r="BE76" s="88"/>
      <c r="BF76" s="88"/>
      <c r="BG76" s="100"/>
      <c r="BH76" s="88"/>
      <c r="BI76" s="97"/>
      <c r="BJ76" s="99"/>
      <c r="BK76" s="200"/>
      <c r="BL76" s="200"/>
      <c r="BM76" s="204"/>
      <c r="BN76" s="131"/>
      <c r="BO76" s="134"/>
      <c r="BP76" s="197">
        <f t="shared" si="1"/>
        <v>0</v>
      </c>
    </row>
    <row r="77" spans="1:68" s="76" customFormat="1" ht="13.5" thickBot="1">
      <c r="A77" s="102">
        <v>2</v>
      </c>
      <c r="B77" s="103">
        <v>2</v>
      </c>
      <c r="C77" s="103">
        <v>4</v>
      </c>
      <c r="D77" s="84"/>
      <c r="E77" s="104"/>
      <c r="F77" s="156" t="s">
        <v>226</v>
      </c>
      <c r="G77" s="82">
        <f>+G78+G79</f>
        <v>65000</v>
      </c>
      <c r="H77" s="82">
        <f>+H78+H79</f>
        <v>0</v>
      </c>
      <c r="I77" s="131">
        <f>+I78+I79</f>
        <v>0</v>
      </c>
      <c r="J77" s="138" t="e">
        <f t="shared" si="2"/>
        <v>#DIV/0!</v>
      </c>
      <c r="K77" s="203">
        <f>+K78+K79</f>
        <v>0</v>
      </c>
      <c r="L77" s="82">
        <f>+L78+L79</f>
        <v>0</v>
      </c>
      <c r="M77" s="89" t="e">
        <f t="shared" si="4"/>
        <v>#DIV/0!</v>
      </c>
      <c r="N77" s="82">
        <f>+N78+N79</f>
        <v>0</v>
      </c>
      <c r="O77" s="82">
        <f>+O78+O79</f>
        <v>0</v>
      </c>
      <c r="P77" s="89" t="e">
        <f t="shared" si="21"/>
        <v>#DIV/0!</v>
      </c>
      <c r="Q77" s="82">
        <f>+Q78+Q79</f>
        <v>0</v>
      </c>
      <c r="R77" s="82"/>
      <c r="S77" s="82"/>
      <c r="T77" s="82"/>
      <c r="U77" s="82"/>
      <c r="V77" s="82"/>
      <c r="W77" s="82">
        <f>+W78+W79</f>
        <v>2700</v>
      </c>
      <c r="X77" s="131"/>
      <c r="Y77" s="232"/>
      <c r="Z77" s="232"/>
      <c r="AA77" s="426">
        <f>+AA78</f>
        <v>0</v>
      </c>
      <c r="AB77" s="232">
        <f>AB78+AB79</f>
        <v>2700</v>
      </c>
      <c r="AC77" s="443" t="e">
        <f t="shared" si="23"/>
        <v>#DIV/0!</v>
      </c>
      <c r="AD77" s="82">
        <f>+AD78+AD79</f>
        <v>0</v>
      </c>
      <c r="AE77" s="131">
        <f>+AE78+AE79</f>
        <v>0</v>
      </c>
      <c r="AF77" s="89" t="e">
        <f t="shared" si="5"/>
        <v>#DIV/0!</v>
      </c>
      <c r="AG77" s="82">
        <f>+AG78+AG79</f>
        <v>0</v>
      </c>
      <c r="AH77" s="131">
        <f>+AH78+AH79</f>
        <v>0</v>
      </c>
      <c r="AI77" s="89" t="e">
        <f t="shared" si="6"/>
        <v>#DIV/0!</v>
      </c>
      <c r="AJ77" s="82">
        <f>+AJ78+AJ79</f>
        <v>0</v>
      </c>
      <c r="AK77" s="131">
        <f>+AK78+AK79</f>
        <v>0</v>
      </c>
      <c r="AL77" s="89" t="e">
        <f t="shared" si="7"/>
        <v>#DIV/0!</v>
      </c>
      <c r="AM77" s="82">
        <f>+AM78+AM79</f>
        <v>0</v>
      </c>
      <c r="AN77" s="82">
        <f>+AN78+AN79</f>
        <v>0</v>
      </c>
      <c r="AO77" s="204" t="e">
        <f t="shared" si="56"/>
        <v>#DIV/0!</v>
      </c>
      <c r="AP77" s="82">
        <f>+AP78+AP79</f>
        <v>0</v>
      </c>
      <c r="AQ77" s="131">
        <f>+AQ78+AQ79</f>
        <v>0</v>
      </c>
      <c r="AR77" s="98" t="e">
        <f t="shared" si="9"/>
        <v>#DIV/0!</v>
      </c>
      <c r="AS77" s="82">
        <f>+AS78+AS79</f>
        <v>0</v>
      </c>
      <c r="AT77" s="131">
        <f>+AT78+AT79</f>
        <v>0</v>
      </c>
      <c r="AU77" s="99" t="e">
        <f t="shared" si="10"/>
        <v>#DIV/0!</v>
      </c>
      <c r="AV77" s="82">
        <f>+AV78+AV79</f>
        <v>0</v>
      </c>
      <c r="AW77" s="82">
        <f>+AW78+AW79</f>
        <v>0</v>
      </c>
      <c r="AX77" s="100" t="e">
        <f t="shared" si="11"/>
        <v>#DIV/0!</v>
      </c>
      <c r="AY77" s="82">
        <f>+AY78+AY79</f>
        <v>0</v>
      </c>
      <c r="AZ77" s="82">
        <f>+AZ78+AZ79</f>
        <v>0</v>
      </c>
      <c r="BA77" s="204" t="e">
        <f>AZ77/AY77</f>
        <v>#DIV/0!</v>
      </c>
      <c r="BB77" s="82"/>
      <c r="BC77" s="82"/>
      <c r="BD77" s="100" t="e">
        <f t="shared" si="14"/>
        <v>#DIV/0!</v>
      </c>
      <c r="BE77" s="82"/>
      <c r="BF77" s="82"/>
      <c r="BG77" s="100" t="e">
        <f t="shared" si="15"/>
        <v>#DIV/0!</v>
      </c>
      <c r="BH77" s="82">
        <f>+BH78+BH79</f>
        <v>0</v>
      </c>
      <c r="BI77" s="131">
        <f>+BI78+BI79</f>
        <v>0</v>
      </c>
      <c r="BJ77" s="99" t="e">
        <f t="shared" si="16"/>
        <v>#DIV/0!</v>
      </c>
      <c r="BK77" s="82">
        <f>+BK78+BK79</f>
        <v>0</v>
      </c>
      <c r="BL77" s="82">
        <f>+BL78+BL79</f>
        <v>0</v>
      </c>
      <c r="BM77" s="204" t="e">
        <f>BL77/BK77</f>
        <v>#DIV/0!</v>
      </c>
      <c r="BN77" s="131">
        <f>+BN78+BN79</f>
        <v>0</v>
      </c>
      <c r="BO77" s="134">
        <f t="shared" si="18"/>
        <v>0</v>
      </c>
      <c r="BP77" s="197">
        <f t="shared" si="1"/>
        <v>62300</v>
      </c>
    </row>
    <row r="78" spans="1:68" ht="13.5" thickBot="1">
      <c r="A78" s="102">
        <v>2</v>
      </c>
      <c r="B78" s="103">
        <v>2</v>
      </c>
      <c r="C78" s="103">
        <v>4</v>
      </c>
      <c r="D78" s="103">
        <v>1</v>
      </c>
      <c r="E78" s="202"/>
      <c r="F78" s="156" t="s">
        <v>8</v>
      </c>
      <c r="G78" s="82">
        <v>50000</v>
      </c>
      <c r="H78" s="82"/>
      <c r="I78" s="131"/>
      <c r="J78" s="138" t="e">
        <f t="shared" si="2"/>
        <v>#DIV/0!</v>
      </c>
      <c r="K78" s="203"/>
      <c r="L78" s="82">
        <v>0</v>
      </c>
      <c r="M78" s="89" t="e">
        <f t="shared" si="4"/>
        <v>#DIV/0!</v>
      </c>
      <c r="N78" s="82"/>
      <c r="O78" s="82"/>
      <c r="P78" s="89" t="e">
        <f t="shared" si="21"/>
        <v>#DIV/0!</v>
      </c>
      <c r="Q78" s="200">
        <f>N78+K78+H78</f>
        <v>0</v>
      </c>
      <c r="R78" s="200"/>
      <c r="S78" s="200"/>
      <c r="T78" s="200"/>
      <c r="U78" s="200"/>
      <c r="V78" s="200"/>
      <c r="W78" s="200">
        <v>2700</v>
      </c>
      <c r="X78" s="421"/>
      <c r="Y78" s="235"/>
      <c r="Z78" s="235"/>
      <c r="AA78" s="425">
        <v>0</v>
      </c>
      <c r="AB78" s="238">
        <f>+I78+L78+O78+S78+T78+U78+V78+W78+X78+Y78+Z78+AA78</f>
        <v>2700</v>
      </c>
      <c r="AC78" s="443" t="e">
        <f t="shared" si="23"/>
        <v>#DIV/0!</v>
      </c>
      <c r="AD78" s="82"/>
      <c r="AE78" s="131"/>
      <c r="AF78" s="89" t="e">
        <f t="shared" si="5"/>
        <v>#DIV/0!</v>
      </c>
      <c r="AG78" s="82"/>
      <c r="AH78" s="131"/>
      <c r="AI78" s="89" t="e">
        <f t="shared" si="6"/>
        <v>#DIV/0!</v>
      </c>
      <c r="AJ78" s="82"/>
      <c r="AK78" s="131"/>
      <c r="AL78" s="89" t="e">
        <f t="shared" si="7"/>
        <v>#DIV/0!</v>
      </c>
      <c r="AM78" s="200">
        <f>AJ78+AG78+AD78</f>
        <v>0</v>
      </c>
      <c r="AN78" s="200">
        <f>AK78+AH78+AE78</f>
        <v>0</v>
      </c>
      <c r="AO78" s="204" t="e">
        <f t="shared" si="56"/>
        <v>#DIV/0!</v>
      </c>
      <c r="AP78" s="82"/>
      <c r="AQ78" s="131"/>
      <c r="AR78" s="98" t="e">
        <f t="shared" si="9"/>
        <v>#DIV/0!</v>
      </c>
      <c r="AS78" s="82"/>
      <c r="AT78" s="131"/>
      <c r="AU78" s="99" t="e">
        <f t="shared" si="10"/>
        <v>#DIV/0!</v>
      </c>
      <c r="AV78" s="87"/>
      <c r="AW78" s="87"/>
      <c r="AX78" s="100" t="e">
        <f t="shared" si="11"/>
        <v>#DIV/0!</v>
      </c>
      <c r="AY78" s="88">
        <f>AV78+AS78+AP78</f>
        <v>0</v>
      </c>
      <c r="AZ78" s="88">
        <f>AW78+AT78+AQ78</f>
        <v>0</v>
      </c>
      <c r="BA78" s="204" t="e">
        <f>AZ78/AY78</f>
        <v>#DIV/0!</v>
      </c>
      <c r="BB78" s="82"/>
      <c r="BC78" s="82"/>
      <c r="BD78" s="100" t="e">
        <f t="shared" si="14"/>
        <v>#DIV/0!</v>
      </c>
      <c r="BE78" s="82"/>
      <c r="BF78" s="82"/>
      <c r="BG78" s="100" t="e">
        <f t="shared" si="15"/>
        <v>#DIV/0!</v>
      </c>
      <c r="BH78" s="82"/>
      <c r="BI78" s="131"/>
      <c r="BJ78" s="99" t="e">
        <f t="shared" si="16"/>
        <v>#DIV/0!</v>
      </c>
      <c r="BK78" s="200">
        <f>BH78+BE78+BB78</f>
        <v>0</v>
      </c>
      <c r="BL78" s="200">
        <f>BI78+BF78+BC78</f>
        <v>0</v>
      </c>
      <c r="BM78" s="204" t="e">
        <f>BL78/BK78</f>
        <v>#DIV/0!</v>
      </c>
      <c r="BN78" s="97">
        <f>I78+L78+O78+AE78+AH78+AK78+AQ78+AT78+AW78+BC78+BF78+BI78</f>
        <v>0</v>
      </c>
      <c r="BO78" s="134">
        <f t="shared" si="18"/>
        <v>0</v>
      </c>
      <c r="BP78" s="197">
        <f t="shared" si="1"/>
        <v>47300</v>
      </c>
    </row>
    <row r="79" spans="1:68" ht="13.5" thickBot="1">
      <c r="A79" s="102">
        <v>2</v>
      </c>
      <c r="B79" s="103">
        <v>2</v>
      </c>
      <c r="C79" s="103">
        <v>4</v>
      </c>
      <c r="D79" s="103">
        <v>4</v>
      </c>
      <c r="E79" s="202"/>
      <c r="F79" s="156" t="s">
        <v>31</v>
      </c>
      <c r="G79" s="82">
        <v>15000</v>
      </c>
      <c r="H79" s="82"/>
      <c r="I79" s="131">
        <v>0</v>
      </c>
      <c r="J79" s="138" t="e">
        <f t="shared" si="2"/>
        <v>#DIV/0!</v>
      </c>
      <c r="K79" s="203"/>
      <c r="L79" s="82">
        <v>0</v>
      </c>
      <c r="M79" s="89" t="e">
        <f t="shared" si="4"/>
        <v>#DIV/0!</v>
      </c>
      <c r="N79" s="82"/>
      <c r="O79" s="82">
        <v>0</v>
      </c>
      <c r="P79" s="89" t="e">
        <f t="shared" si="21"/>
        <v>#DIV/0!</v>
      </c>
      <c r="Q79" s="200">
        <f>N79+K79+H79</f>
        <v>0</v>
      </c>
      <c r="R79" s="200"/>
      <c r="S79" s="200"/>
      <c r="T79" s="200"/>
      <c r="U79" s="200"/>
      <c r="V79" s="200"/>
      <c r="W79" s="200"/>
      <c r="X79" s="421"/>
      <c r="Y79" s="235"/>
      <c r="Z79" s="235"/>
      <c r="AA79" s="425"/>
      <c r="AB79" s="238">
        <f>+I79+L79+O79+S79+T79+U79+V79+W79+X79+Y79+Z79+AA79</f>
        <v>0</v>
      </c>
      <c r="AC79" s="443" t="e">
        <f t="shared" si="23"/>
        <v>#DIV/0!</v>
      </c>
      <c r="AD79" s="82"/>
      <c r="AE79" s="131"/>
      <c r="AF79" s="89" t="e">
        <f t="shared" si="5"/>
        <v>#DIV/0!</v>
      </c>
      <c r="AG79" s="82"/>
      <c r="AH79" s="131"/>
      <c r="AI79" s="89" t="e">
        <f t="shared" si="6"/>
        <v>#DIV/0!</v>
      </c>
      <c r="AJ79" s="82"/>
      <c r="AK79" s="131"/>
      <c r="AL79" s="89" t="e">
        <f t="shared" si="7"/>
        <v>#DIV/0!</v>
      </c>
      <c r="AM79" s="200">
        <f>AJ79+AG79+AD79</f>
        <v>0</v>
      </c>
      <c r="AN79" s="200">
        <f>AK79+AH79+AE79</f>
        <v>0</v>
      </c>
      <c r="AO79" s="204" t="e">
        <f t="shared" si="56"/>
        <v>#DIV/0!</v>
      </c>
      <c r="AP79" s="82"/>
      <c r="AQ79" s="131"/>
      <c r="AR79" s="98" t="e">
        <f t="shared" si="9"/>
        <v>#DIV/0!</v>
      </c>
      <c r="AS79" s="82"/>
      <c r="AT79" s="131"/>
      <c r="AU79" s="99" t="e">
        <f t="shared" si="10"/>
        <v>#DIV/0!</v>
      </c>
      <c r="AV79" s="87"/>
      <c r="AW79" s="87"/>
      <c r="AX79" s="100" t="e">
        <f t="shared" si="11"/>
        <v>#DIV/0!</v>
      </c>
      <c r="AY79" s="88">
        <f>AV79+AS79+AP79</f>
        <v>0</v>
      </c>
      <c r="AZ79" s="88">
        <f>AW79+AT79+AQ79</f>
        <v>0</v>
      </c>
      <c r="BA79" s="204" t="e">
        <f>AZ79/AY79</f>
        <v>#DIV/0!</v>
      </c>
      <c r="BB79" s="82"/>
      <c r="BC79" s="82"/>
      <c r="BD79" s="100" t="e">
        <f t="shared" si="14"/>
        <v>#DIV/0!</v>
      </c>
      <c r="BE79" s="82"/>
      <c r="BF79" s="82"/>
      <c r="BG79" s="100" t="e">
        <f t="shared" si="15"/>
        <v>#DIV/0!</v>
      </c>
      <c r="BH79" s="82"/>
      <c r="BI79" s="131"/>
      <c r="BJ79" s="99" t="e">
        <f t="shared" si="16"/>
        <v>#DIV/0!</v>
      </c>
      <c r="BK79" s="200">
        <f>BH79+BE79+BB79</f>
        <v>0</v>
      </c>
      <c r="BL79" s="200">
        <f>BI79+BF79+BC79</f>
        <v>0</v>
      </c>
      <c r="BM79" s="204" t="e">
        <f>BL79/BK79</f>
        <v>#DIV/0!</v>
      </c>
      <c r="BN79" s="97">
        <f>I79+L79+O79+AE79+AH79+AK79+AQ79+AT79+AW79+BC79+BF79+BI79</f>
        <v>0</v>
      </c>
      <c r="BO79" s="134">
        <f t="shared" si="18"/>
        <v>0</v>
      </c>
      <c r="BP79" s="197">
        <f t="shared" si="1"/>
        <v>15000</v>
      </c>
    </row>
    <row r="80" spans="1:68" s="78" customFormat="1" ht="13.5" thickBot="1">
      <c r="A80" s="102"/>
      <c r="B80" s="103"/>
      <c r="C80" s="103"/>
      <c r="D80" s="103"/>
      <c r="E80" s="104"/>
      <c r="F80" s="156"/>
      <c r="G80" s="82"/>
      <c r="H80" s="82"/>
      <c r="I80" s="97"/>
      <c r="J80" s="138"/>
      <c r="K80" s="148"/>
      <c r="L80" s="88"/>
      <c r="M80" s="89"/>
      <c r="N80" s="88"/>
      <c r="O80" s="88"/>
      <c r="P80" s="89"/>
      <c r="Q80" s="200"/>
      <c r="R80" s="200"/>
      <c r="S80" s="200"/>
      <c r="T80" s="200"/>
      <c r="U80" s="200"/>
      <c r="V80" s="200"/>
      <c r="W80" s="200"/>
      <c r="X80" s="421"/>
      <c r="Y80" s="235"/>
      <c r="Z80" s="235"/>
      <c r="AA80" s="425"/>
      <c r="AB80" s="238">
        <f>+I80+L80+O80+S80+T80+U80+V80+W80+X80+Y80</f>
        <v>0</v>
      </c>
      <c r="AC80" s="443"/>
      <c r="AD80" s="82"/>
      <c r="AE80" s="97"/>
      <c r="AF80" s="89"/>
      <c r="AG80" s="82"/>
      <c r="AH80" s="97"/>
      <c r="AI80" s="89"/>
      <c r="AJ80" s="82"/>
      <c r="AK80" s="97"/>
      <c r="AL80" s="89"/>
      <c r="AM80" s="200"/>
      <c r="AN80" s="200"/>
      <c r="AO80" s="204"/>
      <c r="AP80" s="82"/>
      <c r="AQ80" s="97"/>
      <c r="AR80" s="98"/>
      <c r="AS80" s="82"/>
      <c r="AT80" s="97"/>
      <c r="AU80" s="99"/>
      <c r="AV80" s="86"/>
      <c r="AW80" s="86"/>
      <c r="AX80" s="100"/>
      <c r="AY80" s="88"/>
      <c r="AZ80" s="88"/>
      <c r="BA80" s="204"/>
      <c r="BB80" s="88"/>
      <c r="BC80" s="88"/>
      <c r="BD80" s="100"/>
      <c r="BE80" s="88"/>
      <c r="BF80" s="88"/>
      <c r="BG80" s="100"/>
      <c r="BH80" s="88"/>
      <c r="BI80" s="97"/>
      <c r="BJ80" s="99"/>
      <c r="BK80" s="200"/>
      <c r="BL80" s="200"/>
      <c r="BM80" s="204"/>
      <c r="BN80" s="131"/>
      <c r="BO80" s="134"/>
      <c r="BP80" s="197">
        <f t="shared" si="1"/>
        <v>0</v>
      </c>
    </row>
    <row r="81" spans="1:68" s="76" customFormat="1" ht="13.5" thickBot="1">
      <c r="A81" s="102">
        <v>2</v>
      </c>
      <c r="B81" s="103">
        <v>2</v>
      </c>
      <c r="C81" s="103">
        <v>5</v>
      </c>
      <c r="D81" s="84"/>
      <c r="E81" s="104"/>
      <c r="F81" s="156" t="s">
        <v>32</v>
      </c>
      <c r="G81" s="82">
        <f>G82+G83</f>
        <v>75000</v>
      </c>
      <c r="H81" s="82">
        <f>H82+H83</f>
        <v>0</v>
      </c>
      <c r="I81" s="131">
        <f>I82+I83</f>
        <v>0</v>
      </c>
      <c r="J81" s="138" t="e">
        <f t="shared" si="2"/>
        <v>#DIV/0!</v>
      </c>
      <c r="K81" s="203">
        <f>K82+K83</f>
        <v>0</v>
      </c>
      <c r="L81" s="82">
        <f>L82+L83</f>
        <v>0</v>
      </c>
      <c r="M81" s="89" t="e">
        <f t="shared" si="4"/>
        <v>#DIV/0!</v>
      </c>
      <c r="N81" s="82">
        <f>N82+N83</f>
        <v>0</v>
      </c>
      <c r="O81" s="82">
        <f>+O82+O83+O84</f>
        <v>11682</v>
      </c>
      <c r="P81" s="89" t="e">
        <f t="shared" si="21"/>
        <v>#DIV/0!</v>
      </c>
      <c r="Q81" s="82">
        <f>Q82+Q83</f>
        <v>0</v>
      </c>
      <c r="R81" s="82"/>
      <c r="S81" s="82"/>
      <c r="T81" s="82"/>
      <c r="U81" s="82"/>
      <c r="V81" s="82"/>
      <c r="W81" s="82"/>
      <c r="X81" s="131"/>
      <c r="Y81" s="232"/>
      <c r="Z81" s="232"/>
      <c r="AA81" s="426"/>
      <c r="AB81" s="232">
        <f>+AB82+AB83+AB84</f>
        <v>11682</v>
      </c>
      <c r="AC81" s="443" t="e">
        <f t="shared" si="23"/>
        <v>#DIV/0!</v>
      </c>
      <c r="AD81" s="82">
        <f>AD82+AD83</f>
        <v>0</v>
      </c>
      <c r="AE81" s="131">
        <f>AE82+AE83</f>
        <v>0</v>
      </c>
      <c r="AF81" s="89" t="e">
        <f t="shared" si="5"/>
        <v>#DIV/0!</v>
      </c>
      <c r="AG81" s="82">
        <f>AG82+AG83</f>
        <v>0</v>
      </c>
      <c r="AH81" s="131">
        <f>AH82+AH83</f>
        <v>0</v>
      </c>
      <c r="AI81" s="89" t="e">
        <f t="shared" si="6"/>
        <v>#DIV/0!</v>
      </c>
      <c r="AJ81" s="82">
        <f>AJ82+AJ83</f>
        <v>0</v>
      </c>
      <c r="AK81" s="131">
        <f>AK82+AK83</f>
        <v>0</v>
      </c>
      <c r="AL81" s="89" t="e">
        <f t="shared" si="7"/>
        <v>#DIV/0!</v>
      </c>
      <c r="AM81" s="82">
        <f>AM82+AM83</f>
        <v>0</v>
      </c>
      <c r="AN81" s="82">
        <f>AN82+AN83</f>
        <v>0</v>
      </c>
      <c r="AO81" s="204" t="e">
        <f t="shared" si="56"/>
        <v>#DIV/0!</v>
      </c>
      <c r="AP81" s="82">
        <f>AP82+AP83</f>
        <v>0</v>
      </c>
      <c r="AQ81" s="131">
        <f>AQ82+AQ83</f>
        <v>0</v>
      </c>
      <c r="AR81" s="98" t="e">
        <f t="shared" si="9"/>
        <v>#DIV/0!</v>
      </c>
      <c r="AS81" s="82">
        <f>AS82+AS83</f>
        <v>0</v>
      </c>
      <c r="AT81" s="131">
        <f>AT82+AT83</f>
        <v>0</v>
      </c>
      <c r="AU81" s="99" t="e">
        <f t="shared" si="10"/>
        <v>#DIV/0!</v>
      </c>
      <c r="AV81" s="82">
        <f>AV82+AV83</f>
        <v>0</v>
      </c>
      <c r="AW81" s="82">
        <f>AW82+AW83</f>
        <v>0</v>
      </c>
      <c r="AX81" s="100" t="e">
        <f t="shared" si="11"/>
        <v>#DIV/0!</v>
      </c>
      <c r="AY81" s="82">
        <f>AY82+AY83</f>
        <v>0</v>
      </c>
      <c r="AZ81" s="82">
        <f>AZ82+AZ83</f>
        <v>0</v>
      </c>
      <c r="BA81" s="204" t="e">
        <f>AZ81/AY81</f>
        <v>#DIV/0!</v>
      </c>
      <c r="BB81" s="82"/>
      <c r="BC81" s="82"/>
      <c r="BD81" s="100" t="e">
        <f t="shared" si="14"/>
        <v>#DIV/0!</v>
      </c>
      <c r="BE81" s="82"/>
      <c r="BF81" s="82"/>
      <c r="BG81" s="100" t="e">
        <f t="shared" si="15"/>
        <v>#DIV/0!</v>
      </c>
      <c r="BH81" s="82">
        <f>BH82+BH83</f>
        <v>0</v>
      </c>
      <c r="BI81" s="131">
        <f>BI82+BI83</f>
        <v>0</v>
      </c>
      <c r="BJ81" s="99" t="e">
        <f t="shared" si="16"/>
        <v>#DIV/0!</v>
      </c>
      <c r="BK81" s="82">
        <f>BK82+BK83</f>
        <v>0</v>
      </c>
      <c r="BL81" s="82">
        <f>BL82+BL83</f>
        <v>0</v>
      </c>
      <c r="BM81" s="204" t="e">
        <f>BL81/BK81</f>
        <v>#DIV/0!</v>
      </c>
      <c r="BN81" s="131">
        <f>BN82+BN83</f>
        <v>0</v>
      </c>
      <c r="BO81" s="134">
        <f t="shared" si="18"/>
        <v>0</v>
      </c>
      <c r="BP81" s="197">
        <f t="shared" si="1"/>
        <v>63318</v>
      </c>
    </row>
    <row r="82" spans="1:68" ht="13.5" thickBot="1">
      <c r="A82" s="102">
        <v>2</v>
      </c>
      <c r="B82" s="103">
        <v>2</v>
      </c>
      <c r="C82" s="103">
        <v>5</v>
      </c>
      <c r="D82" s="103">
        <v>1</v>
      </c>
      <c r="E82" s="202" t="s">
        <v>7</v>
      </c>
      <c r="F82" s="156" t="s">
        <v>33</v>
      </c>
      <c r="G82" s="88">
        <f>75000-60000</f>
        <v>15000</v>
      </c>
      <c r="H82" s="82"/>
      <c r="I82" s="131"/>
      <c r="J82" s="138" t="e">
        <f t="shared" si="2"/>
        <v>#DIV/0!</v>
      </c>
      <c r="K82" s="203"/>
      <c r="L82" s="82"/>
      <c r="M82" s="89" t="e">
        <f t="shared" si="4"/>
        <v>#DIV/0!</v>
      </c>
      <c r="N82" s="82"/>
      <c r="O82" s="82"/>
      <c r="P82" s="89" t="e">
        <f t="shared" si="21"/>
        <v>#DIV/0!</v>
      </c>
      <c r="Q82" s="200">
        <f>N82+K82+H82</f>
        <v>0</v>
      </c>
      <c r="R82" s="200"/>
      <c r="S82" s="200"/>
      <c r="T82" s="200"/>
      <c r="U82" s="200"/>
      <c r="V82" s="200"/>
      <c r="W82" s="200"/>
      <c r="X82" s="421"/>
      <c r="Y82" s="235"/>
      <c r="Z82" s="235"/>
      <c r="AA82" s="425"/>
      <c r="AB82" s="238">
        <f>+I82+L82+O82+S82+T82+U82+V82+W82+X82+Y82+Z82+AA82</f>
        <v>0</v>
      </c>
      <c r="AC82" s="443" t="e">
        <f t="shared" si="23"/>
        <v>#DIV/0!</v>
      </c>
      <c r="AD82" s="82"/>
      <c r="AE82" s="131"/>
      <c r="AF82" s="89" t="e">
        <f t="shared" si="5"/>
        <v>#DIV/0!</v>
      </c>
      <c r="AG82" s="82"/>
      <c r="AH82" s="131"/>
      <c r="AI82" s="89" t="e">
        <f t="shared" si="6"/>
        <v>#DIV/0!</v>
      </c>
      <c r="AJ82" s="82"/>
      <c r="AK82" s="131"/>
      <c r="AL82" s="89" t="e">
        <f t="shared" si="7"/>
        <v>#DIV/0!</v>
      </c>
      <c r="AM82" s="200">
        <f>AJ82+AG82+AD82</f>
        <v>0</v>
      </c>
      <c r="AN82" s="200">
        <f>AK82+AH82+AE82</f>
        <v>0</v>
      </c>
      <c r="AO82" s="204" t="e">
        <f t="shared" si="56"/>
        <v>#DIV/0!</v>
      </c>
      <c r="AP82" s="82"/>
      <c r="AQ82" s="131"/>
      <c r="AR82" s="98" t="e">
        <f t="shared" si="9"/>
        <v>#DIV/0!</v>
      </c>
      <c r="AS82" s="82"/>
      <c r="AT82" s="131"/>
      <c r="AU82" s="99" t="e">
        <f t="shared" si="10"/>
        <v>#DIV/0!</v>
      </c>
      <c r="AV82" s="87"/>
      <c r="AW82" s="87"/>
      <c r="AX82" s="100" t="e">
        <f t="shared" si="11"/>
        <v>#DIV/0!</v>
      </c>
      <c r="AY82" s="88">
        <f>AV82+AS82+AP82</f>
        <v>0</v>
      </c>
      <c r="AZ82" s="88">
        <f>AW82+AT82+AQ82</f>
        <v>0</v>
      </c>
      <c r="BA82" s="204" t="e">
        <f>AZ82/AY82</f>
        <v>#DIV/0!</v>
      </c>
      <c r="BB82" s="82"/>
      <c r="BC82" s="82"/>
      <c r="BD82" s="100" t="e">
        <f t="shared" si="14"/>
        <v>#DIV/0!</v>
      </c>
      <c r="BE82" s="82"/>
      <c r="BF82" s="82"/>
      <c r="BG82" s="100" t="e">
        <f t="shared" si="15"/>
        <v>#DIV/0!</v>
      </c>
      <c r="BH82" s="82"/>
      <c r="BI82" s="131"/>
      <c r="BJ82" s="99" t="e">
        <f t="shared" si="16"/>
        <v>#DIV/0!</v>
      </c>
      <c r="BK82" s="200">
        <f>BH82+BE82+BB82</f>
        <v>0</v>
      </c>
      <c r="BL82" s="200">
        <f>BI82+BF82+BC82</f>
        <v>0</v>
      </c>
      <c r="BM82" s="204" t="e">
        <f>BL82/BK82</f>
        <v>#DIV/0!</v>
      </c>
      <c r="BN82" s="97">
        <f>I82+L82+O82+AE82+AH82+AK82+AQ82+AT82+AW82+BC82+BF82+BI82</f>
        <v>0</v>
      </c>
      <c r="BO82" s="134">
        <f t="shared" si="18"/>
        <v>0</v>
      </c>
      <c r="BP82" s="197">
        <f aca="true" t="shared" si="71" ref="BP82:BP148">+G82-AB82</f>
        <v>15000</v>
      </c>
    </row>
    <row r="83" spans="1:68" ht="21.75" customHeight="1" thickBot="1">
      <c r="A83" s="102">
        <v>2</v>
      </c>
      <c r="B83" s="103">
        <v>2</v>
      </c>
      <c r="C83" s="103">
        <v>5</v>
      </c>
      <c r="D83" s="103">
        <v>4</v>
      </c>
      <c r="E83" s="202"/>
      <c r="F83" s="156" t="s">
        <v>86</v>
      </c>
      <c r="G83" s="88">
        <v>60000</v>
      </c>
      <c r="H83" s="82"/>
      <c r="I83" s="131"/>
      <c r="J83" s="138" t="e">
        <f t="shared" si="2"/>
        <v>#DIV/0!</v>
      </c>
      <c r="K83" s="203"/>
      <c r="L83" s="82"/>
      <c r="M83" s="89" t="e">
        <f t="shared" si="4"/>
        <v>#DIV/0!</v>
      </c>
      <c r="N83" s="82"/>
      <c r="O83" s="82"/>
      <c r="P83" s="89" t="e">
        <f t="shared" si="21"/>
        <v>#DIV/0!</v>
      </c>
      <c r="Q83" s="200">
        <f>N83+K83+H83</f>
        <v>0</v>
      </c>
      <c r="R83" s="200"/>
      <c r="S83" s="200"/>
      <c r="T83" s="200"/>
      <c r="U83" s="200"/>
      <c r="V83" s="200"/>
      <c r="W83" s="200"/>
      <c r="X83" s="421"/>
      <c r="Y83" s="235"/>
      <c r="Z83" s="235"/>
      <c r="AA83" s="425"/>
      <c r="AB83" s="238">
        <f>+I83+L83+O83+S83+T83+U83+V83+W83+X83+Y83+Z83+AA83</f>
        <v>0</v>
      </c>
      <c r="AC83" s="443" t="e">
        <f t="shared" si="23"/>
        <v>#DIV/0!</v>
      </c>
      <c r="AD83" s="82"/>
      <c r="AE83" s="131"/>
      <c r="AF83" s="89" t="e">
        <f t="shared" si="5"/>
        <v>#DIV/0!</v>
      </c>
      <c r="AG83" s="82"/>
      <c r="AH83" s="131"/>
      <c r="AI83" s="89" t="e">
        <f t="shared" si="6"/>
        <v>#DIV/0!</v>
      </c>
      <c r="AJ83" s="82"/>
      <c r="AK83" s="131"/>
      <c r="AL83" s="89" t="e">
        <f t="shared" si="7"/>
        <v>#DIV/0!</v>
      </c>
      <c r="AM83" s="200">
        <f>AJ83+AG83+AD83</f>
        <v>0</v>
      </c>
      <c r="AN83" s="200">
        <f>AK83+AH83+AE83</f>
        <v>0</v>
      </c>
      <c r="AO83" s="204" t="e">
        <f t="shared" si="56"/>
        <v>#DIV/0!</v>
      </c>
      <c r="AP83" s="82"/>
      <c r="AQ83" s="131"/>
      <c r="AR83" s="98" t="e">
        <f t="shared" si="9"/>
        <v>#DIV/0!</v>
      </c>
      <c r="AS83" s="82"/>
      <c r="AT83" s="131"/>
      <c r="AU83" s="99" t="e">
        <f t="shared" si="10"/>
        <v>#DIV/0!</v>
      </c>
      <c r="AV83" s="87"/>
      <c r="AW83" s="87"/>
      <c r="AX83" s="100" t="e">
        <f t="shared" si="11"/>
        <v>#DIV/0!</v>
      </c>
      <c r="AY83" s="88">
        <f>AV83+AS83+AP83</f>
        <v>0</v>
      </c>
      <c r="AZ83" s="88">
        <f>AW83+AT83+AQ83</f>
        <v>0</v>
      </c>
      <c r="BA83" s="204" t="e">
        <f>AZ83/AY83</f>
        <v>#DIV/0!</v>
      </c>
      <c r="BB83" s="82"/>
      <c r="BC83" s="82"/>
      <c r="BD83" s="100" t="e">
        <f t="shared" si="14"/>
        <v>#DIV/0!</v>
      </c>
      <c r="BE83" s="82"/>
      <c r="BF83" s="82"/>
      <c r="BG83" s="100" t="e">
        <f t="shared" si="15"/>
        <v>#DIV/0!</v>
      </c>
      <c r="BH83" s="82"/>
      <c r="BI83" s="131"/>
      <c r="BJ83" s="99" t="e">
        <f t="shared" si="16"/>
        <v>#DIV/0!</v>
      </c>
      <c r="BK83" s="200">
        <f>BH83+BE83+BB83</f>
        <v>0</v>
      </c>
      <c r="BL83" s="200">
        <f>BI83+BF83+BC83</f>
        <v>0</v>
      </c>
      <c r="BM83" s="204" t="e">
        <f>BL83/BK83</f>
        <v>#DIV/0!</v>
      </c>
      <c r="BN83" s="97">
        <f>I83+L83+O83+AE83+AH83+AK83+AQ83+AT83+AW83+BC83+BF83+BI83</f>
        <v>0</v>
      </c>
      <c r="BO83" s="134">
        <f t="shared" si="18"/>
        <v>0</v>
      </c>
      <c r="BP83" s="197">
        <f t="shared" si="71"/>
        <v>60000</v>
      </c>
    </row>
    <row r="84" spans="1:68" ht="21.75" customHeight="1" thickBot="1">
      <c r="A84" s="102">
        <v>2</v>
      </c>
      <c r="B84" s="103">
        <v>2</v>
      </c>
      <c r="C84" s="103">
        <v>5</v>
      </c>
      <c r="D84" s="103">
        <v>8</v>
      </c>
      <c r="E84" s="202" t="s">
        <v>261</v>
      </c>
      <c r="F84" s="156"/>
      <c r="G84" s="88"/>
      <c r="H84" s="82"/>
      <c r="I84" s="131"/>
      <c r="J84" s="138"/>
      <c r="K84" s="203"/>
      <c r="L84" s="82"/>
      <c r="M84" s="89"/>
      <c r="N84" s="82"/>
      <c r="O84" s="82">
        <v>11682</v>
      </c>
      <c r="P84" s="89"/>
      <c r="Q84" s="200"/>
      <c r="R84" s="200"/>
      <c r="S84" s="200"/>
      <c r="T84" s="200"/>
      <c r="U84" s="200"/>
      <c r="V84" s="200"/>
      <c r="W84" s="200"/>
      <c r="X84" s="421"/>
      <c r="Y84" s="235"/>
      <c r="Z84" s="235"/>
      <c r="AA84" s="425"/>
      <c r="AB84" s="238">
        <f>+I84+L84+O84+S84+T84+U84+V84+W84+X84+Y84+Z84+AA84</f>
        <v>11682</v>
      </c>
      <c r="AC84" s="443"/>
      <c r="AD84" s="82"/>
      <c r="AE84" s="131"/>
      <c r="AF84" s="89"/>
      <c r="AG84" s="82"/>
      <c r="AH84" s="131"/>
      <c r="AI84" s="89"/>
      <c r="AJ84" s="82"/>
      <c r="AK84" s="131"/>
      <c r="AL84" s="89"/>
      <c r="AM84" s="200"/>
      <c r="AN84" s="200"/>
      <c r="AO84" s="204"/>
      <c r="AP84" s="82"/>
      <c r="AQ84" s="131"/>
      <c r="AR84" s="98"/>
      <c r="AS84" s="82"/>
      <c r="AT84" s="131"/>
      <c r="AU84" s="99"/>
      <c r="AV84" s="87"/>
      <c r="AW84" s="87"/>
      <c r="AX84" s="100"/>
      <c r="AY84" s="88"/>
      <c r="AZ84" s="88"/>
      <c r="BA84" s="204"/>
      <c r="BB84" s="82"/>
      <c r="BC84" s="82"/>
      <c r="BD84" s="100"/>
      <c r="BE84" s="82"/>
      <c r="BF84" s="82"/>
      <c r="BG84" s="100"/>
      <c r="BH84" s="82"/>
      <c r="BI84" s="131"/>
      <c r="BJ84" s="99"/>
      <c r="BK84" s="200"/>
      <c r="BL84" s="200"/>
      <c r="BM84" s="204"/>
      <c r="BN84" s="97"/>
      <c r="BO84" s="134"/>
      <c r="BP84" s="197"/>
    </row>
    <row r="85" spans="1:68" s="78" customFormat="1" ht="13.5" thickBot="1">
      <c r="A85" s="102"/>
      <c r="B85" s="103"/>
      <c r="C85" s="103"/>
      <c r="D85" s="103"/>
      <c r="E85" s="104"/>
      <c r="F85" s="156"/>
      <c r="G85" s="82"/>
      <c r="H85" s="82"/>
      <c r="I85" s="97"/>
      <c r="J85" s="138"/>
      <c r="K85" s="148"/>
      <c r="L85" s="88"/>
      <c r="M85" s="89"/>
      <c r="N85" s="88"/>
      <c r="O85" s="88"/>
      <c r="P85" s="89"/>
      <c r="Q85" s="200"/>
      <c r="R85" s="200"/>
      <c r="S85" s="200"/>
      <c r="T85" s="200"/>
      <c r="U85" s="200"/>
      <c r="V85" s="200"/>
      <c r="W85" s="200"/>
      <c r="X85" s="421"/>
      <c r="Y85" s="235"/>
      <c r="Z85" s="235"/>
      <c r="AA85" s="425"/>
      <c r="AB85" s="238">
        <f>+I85+L85+O85+S85+T85+U85+V85+W85+X85+Y85</f>
        <v>0</v>
      </c>
      <c r="AC85" s="443"/>
      <c r="AD85" s="82"/>
      <c r="AE85" s="97"/>
      <c r="AF85" s="89"/>
      <c r="AG85" s="82"/>
      <c r="AH85" s="97"/>
      <c r="AI85" s="89"/>
      <c r="AJ85" s="82"/>
      <c r="AK85" s="97"/>
      <c r="AL85" s="89"/>
      <c r="AM85" s="200"/>
      <c r="AN85" s="200"/>
      <c r="AO85" s="204"/>
      <c r="AP85" s="82"/>
      <c r="AQ85" s="97"/>
      <c r="AR85" s="98"/>
      <c r="AS85" s="82"/>
      <c r="AT85" s="97"/>
      <c r="AU85" s="99"/>
      <c r="AV85" s="86"/>
      <c r="AW85" s="86"/>
      <c r="AX85" s="100"/>
      <c r="AY85" s="88"/>
      <c r="AZ85" s="88"/>
      <c r="BA85" s="204"/>
      <c r="BB85" s="88"/>
      <c r="BC85" s="88"/>
      <c r="BD85" s="100"/>
      <c r="BE85" s="88"/>
      <c r="BF85" s="88"/>
      <c r="BG85" s="100"/>
      <c r="BH85" s="88"/>
      <c r="BI85" s="97"/>
      <c r="BJ85" s="99"/>
      <c r="BK85" s="200"/>
      <c r="BL85" s="200"/>
      <c r="BM85" s="204"/>
      <c r="BN85" s="131"/>
      <c r="BO85" s="134"/>
      <c r="BP85" s="197">
        <f t="shared" si="71"/>
        <v>0</v>
      </c>
    </row>
    <row r="86" spans="1:68" s="76" customFormat="1" ht="13.5" thickBot="1">
      <c r="A86" s="102">
        <v>2</v>
      </c>
      <c r="B86" s="103">
        <v>2</v>
      </c>
      <c r="C86" s="103">
        <v>6</v>
      </c>
      <c r="D86" s="84"/>
      <c r="E86" s="104"/>
      <c r="F86" s="156" t="s">
        <v>34</v>
      </c>
      <c r="G86" s="82">
        <f>SUM(G87:G90)</f>
        <v>3391000</v>
      </c>
      <c r="H86" s="82">
        <f>SUM(H87:H90)</f>
        <v>0</v>
      </c>
      <c r="I86" s="82">
        <f>SUM(I87:I90)</f>
        <v>272239.48</v>
      </c>
      <c r="J86" s="138" t="e">
        <f t="shared" si="2"/>
        <v>#DIV/0!</v>
      </c>
      <c r="K86" s="203">
        <f aca="true" t="shared" si="72" ref="K86:AA86">SUM(K87:K90)</f>
        <v>0</v>
      </c>
      <c r="L86" s="82">
        <f t="shared" si="72"/>
        <v>305308.4</v>
      </c>
      <c r="M86" s="82" t="e">
        <f t="shared" si="72"/>
        <v>#DIV/0!</v>
      </c>
      <c r="N86" s="82">
        <f t="shared" si="72"/>
        <v>0</v>
      </c>
      <c r="O86" s="88">
        <f t="shared" si="72"/>
        <v>202954.33000000002</v>
      </c>
      <c r="P86" s="88" t="e">
        <f t="shared" si="72"/>
        <v>#DIV/0!</v>
      </c>
      <c r="Q86" s="88">
        <f t="shared" si="72"/>
        <v>0</v>
      </c>
      <c r="R86" s="88">
        <f t="shared" si="72"/>
        <v>0</v>
      </c>
      <c r="S86" s="88">
        <f t="shared" si="72"/>
        <v>202265.51</v>
      </c>
      <c r="T86" s="82">
        <f t="shared" si="72"/>
        <v>12325.09</v>
      </c>
      <c r="U86" s="82">
        <f t="shared" si="72"/>
        <v>13200.75</v>
      </c>
      <c r="V86" s="82">
        <f t="shared" si="72"/>
        <v>13200.75</v>
      </c>
      <c r="W86" s="82">
        <f t="shared" si="72"/>
        <v>13200.75</v>
      </c>
      <c r="X86" s="131">
        <f t="shared" si="72"/>
        <v>13884.88</v>
      </c>
      <c r="Y86" s="232">
        <f t="shared" si="72"/>
        <v>0</v>
      </c>
      <c r="Z86" s="232">
        <f t="shared" si="72"/>
        <v>0</v>
      </c>
      <c r="AA86" s="426">
        <f t="shared" si="72"/>
        <v>0</v>
      </c>
      <c r="AB86" s="232">
        <f>AB87+AB88+AB89+AB90</f>
        <v>1048579.9400000002</v>
      </c>
      <c r="AC86" s="443" t="e">
        <f t="shared" si="23"/>
        <v>#DIV/0!</v>
      </c>
      <c r="AD86" s="82">
        <f>SUM(AD87:AD90)</f>
        <v>0</v>
      </c>
      <c r="AE86" s="82">
        <f>SUM(AE87:AE90)</f>
        <v>0</v>
      </c>
      <c r="AF86" s="89" t="e">
        <f t="shared" si="5"/>
        <v>#DIV/0!</v>
      </c>
      <c r="AG86" s="82">
        <f>SUM(AG87:AG90)</f>
        <v>0</v>
      </c>
      <c r="AH86" s="82">
        <f>SUM(AH87:AH90)</f>
        <v>0</v>
      </c>
      <c r="AI86" s="89" t="e">
        <f t="shared" si="6"/>
        <v>#DIV/0!</v>
      </c>
      <c r="AJ86" s="82">
        <f>SUM(AJ87:AJ90)</f>
        <v>0</v>
      </c>
      <c r="AK86" s="82">
        <f>SUM(AK87:AK90)</f>
        <v>0</v>
      </c>
      <c r="AL86" s="89" t="e">
        <f t="shared" si="7"/>
        <v>#DIV/0!</v>
      </c>
      <c r="AM86" s="82">
        <f>SUM(AM87:AM90)</f>
        <v>0</v>
      </c>
      <c r="AN86" s="82">
        <f>SUM(AN87:AN90)</f>
        <v>0</v>
      </c>
      <c r="AO86" s="204" t="e">
        <f t="shared" si="56"/>
        <v>#DIV/0!</v>
      </c>
      <c r="AP86" s="82">
        <f>SUM(AP87:AP90)</f>
        <v>0</v>
      </c>
      <c r="AQ86" s="82">
        <f>SUM(AQ87:AQ90)</f>
        <v>0</v>
      </c>
      <c r="AR86" s="98" t="e">
        <f t="shared" si="9"/>
        <v>#DIV/0!</v>
      </c>
      <c r="AS86" s="82">
        <f>SUM(AS87:AS90)</f>
        <v>0</v>
      </c>
      <c r="AT86" s="82">
        <f>SUM(AT87:AT90)</f>
        <v>0</v>
      </c>
      <c r="AU86" s="99" t="e">
        <f t="shared" si="10"/>
        <v>#DIV/0!</v>
      </c>
      <c r="AV86" s="82">
        <f>SUM(AV87:AV90)</f>
        <v>0</v>
      </c>
      <c r="AW86" s="82">
        <f>SUM(AW87:AW90)</f>
        <v>0</v>
      </c>
      <c r="AX86" s="100" t="e">
        <f t="shared" si="11"/>
        <v>#DIV/0!</v>
      </c>
      <c r="AY86" s="82">
        <f>SUM(AY87:AY90)</f>
        <v>0</v>
      </c>
      <c r="AZ86" s="82">
        <f>SUM(AZ87:AZ90)</f>
        <v>0</v>
      </c>
      <c r="BA86" s="204" t="e">
        <f aca="true" t="shared" si="73" ref="BA86:BA152">AZ86/AY86</f>
        <v>#DIV/0!</v>
      </c>
      <c r="BB86" s="82"/>
      <c r="BC86" s="82"/>
      <c r="BD86" s="100" t="e">
        <f t="shared" si="14"/>
        <v>#DIV/0!</v>
      </c>
      <c r="BE86" s="82"/>
      <c r="BF86" s="82"/>
      <c r="BG86" s="100" t="e">
        <f t="shared" si="15"/>
        <v>#DIV/0!</v>
      </c>
      <c r="BH86" s="82">
        <f>SUM(BH87:BH90)</f>
        <v>0</v>
      </c>
      <c r="BI86" s="131">
        <f>SUM(BI87:BI90)</f>
        <v>0</v>
      </c>
      <c r="BJ86" s="99" t="e">
        <f t="shared" si="16"/>
        <v>#DIV/0!</v>
      </c>
      <c r="BK86" s="82">
        <f>SUM(BK87:BK90)</f>
        <v>0</v>
      </c>
      <c r="BL86" s="82">
        <f>SUM(BL87:BL90)</f>
        <v>0</v>
      </c>
      <c r="BM86" s="204" t="e">
        <f aca="true" t="shared" si="74" ref="BM86:BM152">BL86/BK86</f>
        <v>#DIV/0!</v>
      </c>
      <c r="BN86" s="131">
        <f>SUM(BN87:BN90)</f>
        <v>780502.2100000001</v>
      </c>
      <c r="BO86" s="134">
        <f t="shared" si="18"/>
        <v>0.230168743733412</v>
      </c>
      <c r="BP86" s="197">
        <f t="shared" si="71"/>
        <v>2342420.0599999996</v>
      </c>
    </row>
    <row r="87" spans="1:68" ht="13.5" thickBot="1">
      <c r="A87" s="102">
        <v>2</v>
      </c>
      <c r="B87" s="103">
        <v>2</v>
      </c>
      <c r="C87" s="103">
        <v>6</v>
      </c>
      <c r="D87" s="103">
        <v>1</v>
      </c>
      <c r="E87" s="202"/>
      <c r="F87" s="156" t="s">
        <v>87</v>
      </c>
      <c r="G87" s="88">
        <v>120000</v>
      </c>
      <c r="H87" s="82"/>
      <c r="I87" s="131"/>
      <c r="J87" s="138" t="e">
        <f t="shared" si="2"/>
        <v>#DIV/0!</v>
      </c>
      <c r="K87" s="203"/>
      <c r="L87" s="82"/>
      <c r="M87" s="89" t="e">
        <f t="shared" si="4"/>
        <v>#DIV/0!</v>
      </c>
      <c r="N87" s="82"/>
      <c r="O87" s="82"/>
      <c r="P87" s="89" t="e">
        <f t="shared" si="21"/>
        <v>#DIV/0!</v>
      </c>
      <c r="Q87" s="200">
        <f>N87+K87+H87</f>
        <v>0</v>
      </c>
      <c r="R87" s="200"/>
      <c r="S87" s="200"/>
      <c r="T87" s="200"/>
      <c r="U87" s="200"/>
      <c r="V87" s="200"/>
      <c r="W87" s="200"/>
      <c r="X87" s="421"/>
      <c r="Y87" s="235"/>
      <c r="Z87" s="235">
        <v>0</v>
      </c>
      <c r="AA87" s="425"/>
      <c r="AB87" s="232">
        <f>+I87+L87+O87+S87+T87+U87+V87+W87+X87+Y87+Z87+AA87</f>
        <v>0</v>
      </c>
      <c r="AC87" s="443" t="e">
        <f t="shared" si="23"/>
        <v>#DIV/0!</v>
      </c>
      <c r="AD87" s="82"/>
      <c r="AE87" s="131"/>
      <c r="AF87" s="89" t="e">
        <f t="shared" si="5"/>
        <v>#DIV/0!</v>
      </c>
      <c r="AG87" s="82"/>
      <c r="AH87" s="131"/>
      <c r="AI87" s="89" t="e">
        <f t="shared" si="6"/>
        <v>#DIV/0!</v>
      </c>
      <c r="AJ87" s="82"/>
      <c r="AK87" s="131"/>
      <c r="AL87" s="89" t="e">
        <f t="shared" si="7"/>
        <v>#DIV/0!</v>
      </c>
      <c r="AM87" s="200">
        <f aca="true" t="shared" si="75" ref="AM87:AN90">AJ87+AG87+AD87</f>
        <v>0</v>
      </c>
      <c r="AN87" s="200">
        <f t="shared" si="75"/>
        <v>0</v>
      </c>
      <c r="AO87" s="204" t="e">
        <f t="shared" si="56"/>
        <v>#DIV/0!</v>
      </c>
      <c r="AP87" s="82"/>
      <c r="AQ87" s="131"/>
      <c r="AR87" s="98" t="e">
        <f t="shared" si="9"/>
        <v>#DIV/0!</v>
      </c>
      <c r="AS87" s="82"/>
      <c r="AT87" s="131"/>
      <c r="AU87" s="99" t="e">
        <f t="shared" si="10"/>
        <v>#DIV/0!</v>
      </c>
      <c r="AV87" s="87"/>
      <c r="AW87" s="87"/>
      <c r="AX87" s="100" t="e">
        <f t="shared" si="11"/>
        <v>#DIV/0!</v>
      </c>
      <c r="AY87" s="88">
        <f aca="true" t="shared" si="76" ref="AY87:AZ90">AV87+AS87+AP87</f>
        <v>0</v>
      </c>
      <c r="AZ87" s="88">
        <f t="shared" si="76"/>
        <v>0</v>
      </c>
      <c r="BA87" s="204" t="e">
        <f t="shared" si="73"/>
        <v>#DIV/0!</v>
      </c>
      <c r="BB87" s="82"/>
      <c r="BC87" s="82"/>
      <c r="BD87" s="100" t="e">
        <f t="shared" si="14"/>
        <v>#DIV/0!</v>
      </c>
      <c r="BE87" s="82"/>
      <c r="BF87" s="82"/>
      <c r="BG87" s="100" t="e">
        <f t="shared" si="15"/>
        <v>#DIV/0!</v>
      </c>
      <c r="BH87" s="82"/>
      <c r="BI87" s="131"/>
      <c r="BJ87" s="99" t="e">
        <f t="shared" si="16"/>
        <v>#DIV/0!</v>
      </c>
      <c r="BK87" s="200">
        <f aca="true" t="shared" si="77" ref="BK87:BL90">BH87+BE87+BB87</f>
        <v>0</v>
      </c>
      <c r="BL87" s="200">
        <f t="shared" si="77"/>
        <v>0</v>
      </c>
      <c r="BM87" s="204" t="e">
        <f t="shared" si="74"/>
        <v>#DIV/0!</v>
      </c>
      <c r="BN87" s="97">
        <f>I87+L87+O87+AE87+AH87+AK87+AQ87+AT87+AW87+BC87+BF87+BI87</f>
        <v>0</v>
      </c>
      <c r="BO87" s="134">
        <f t="shared" si="18"/>
        <v>0</v>
      </c>
      <c r="BP87" s="197">
        <f t="shared" si="71"/>
        <v>120000</v>
      </c>
    </row>
    <row r="88" spans="1:68" ht="13.5" thickBot="1">
      <c r="A88" s="102">
        <v>2</v>
      </c>
      <c r="B88" s="103">
        <v>2</v>
      </c>
      <c r="C88" s="103">
        <v>6</v>
      </c>
      <c r="D88" s="103">
        <v>2</v>
      </c>
      <c r="E88" s="202"/>
      <c r="F88" s="156" t="s">
        <v>35</v>
      </c>
      <c r="G88" s="88">
        <f>170000+150000</f>
        <v>320000</v>
      </c>
      <c r="H88" s="82"/>
      <c r="I88" s="131">
        <v>64852.45</v>
      </c>
      <c r="J88" s="138" t="e">
        <f t="shared" si="2"/>
        <v>#DIV/0!</v>
      </c>
      <c r="K88" s="203"/>
      <c r="L88" s="82">
        <v>101276.39</v>
      </c>
      <c r="M88" s="89" t="e">
        <f t="shared" si="4"/>
        <v>#DIV/0!</v>
      </c>
      <c r="N88" s="82"/>
      <c r="O88" s="82"/>
      <c r="P88" s="89" t="e">
        <f t="shared" si="21"/>
        <v>#DIV/0!</v>
      </c>
      <c r="Q88" s="200">
        <f>N88+K88+H88</f>
        <v>0</v>
      </c>
      <c r="R88" s="200"/>
      <c r="S88" s="200"/>
      <c r="T88" s="200"/>
      <c r="U88" s="200"/>
      <c r="V88" s="200"/>
      <c r="W88" s="200"/>
      <c r="X88" s="421"/>
      <c r="Y88" s="235"/>
      <c r="Z88" s="235">
        <v>0</v>
      </c>
      <c r="AA88" s="425"/>
      <c r="AB88" s="232">
        <f>+I88+L88+O88+S88+T88+U88+V88+W88+X88+Y88+Z88+AA88</f>
        <v>166128.84</v>
      </c>
      <c r="AC88" s="443" t="e">
        <f t="shared" si="23"/>
        <v>#DIV/0!</v>
      </c>
      <c r="AD88" s="82"/>
      <c r="AE88" s="131"/>
      <c r="AF88" s="89" t="e">
        <f t="shared" si="5"/>
        <v>#DIV/0!</v>
      </c>
      <c r="AG88" s="82"/>
      <c r="AH88" s="131"/>
      <c r="AI88" s="89" t="e">
        <f t="shared" si="6"/>
        <v>#DIV/0!</v>
      </c>
      <c r="AJ88" s="82"/>
      <c r="AK88" s="131"/>
      <c r="AL88" s="89" t="e">
        <f t="shared" si="7"/>
        <v>#DIV/0!</v>
      </c>
      <c r="AM88" s="200">
        <f t="shared" si="75"/>
        <v>0</v>
      </c>
      <c r="AN88" s="200">
        <f t="shared" si="75"/>
        <v>0</v>
      </c>
      <c r="AO88" s="204" t="e">
        <f t="shared" si="56"/>
        <v>#DIV/0!</v>
      </c>
      <c r="AP88" s="82"/>
      <c r="AQ88" s="131"/>
      <c r="AR88" s="98" t="e">
        <f t="shared" si="9"/>
        <v>#DIV/0!</v>
      </c>
      <c r="AS88" s="82"/>
      <c r="AT88" s="131"/>
      <c r="AU88" s="99" t="e">
        <f t="shared" si="10"/>
        <v>#DIV/0!</v>
      </c>
      <c r="AV88" s="87"/>
      <c r="AW88" s="87"/>
      <c r="AX88" s="100" t="e">
        <f t="shared" si="11"/>
        <v>#DIV/0!</v>
      </c>
      <c r="AY88" s="88">
        <f t="shared" si="76"/>
        <v>0</v>
      </c>
      <c r="AZ88" s="88">
        <f t="shared" si="76"/>
        <v>0</v>
      </c>
      <c r="BA88" s="204" t="e">
        <f t="shared" si="73"/>
        <v>#DIV/0!</v>
      </c>
      <c r="BB88" s="82"/>
      <c r="BC88" s="82"/>
      <c r="BD88" s="100" t="e">
        <f t="shared" si="14"/>
        <v>#DIV/0!</v>
      </c>
      <c r="BE88" s="82"/>
      <c r="BF88" s="82"/>
      <c r="BG88" s="100" t="e">
        <f t="shared" si="15"/>
        <v>#DIV/0!</v>
      </c>
      <c r="BH88" s="82"/>
      <c r="BI88" s="131"/>
      <c r="BJ88" s="99" t="e">
        <f t="shared" si="16"/>
        <v>#DIV/0!</v>
      </c>
      <c r="BK88" s="200">
        <f t="shared" si="77"/>
        <v>0</v>
      </c>
      <c r="BL88" s="200">
        <f t="shared" si="77"/>
        <v>0</v>
      </c>
      <c r="BM88" s="204" t="e">
        <f t="shared" si="74"/>
        <v>#DIV/0!</v>
      </c>
      <c r="BN88" s="97">
        <f>I88+L88+O88+AE88+AH88+AK88+AQ88+AT88+AW88+BC88+BF88+BI88</f>
        <v>166128.84</v>
      </c>
      <c r="BO88" s="134">
        <f t="shared" si="18"/>
        <v>0.519152625</v>
      </c>
      <c r="BP88" s="197">
        <f t="shared" si="71"/>
        <v>153871.16</v>
      </c>
    </row>
    <row r="89" spans="1:68" ht="13.5" thickBot="1">
      <c r="A89" s="102">
        <v>2</v>
      </c>
      <c r="B89" s="103">
        <v>2</v>
      </c>
      <c r="C89" s="103">
        <v>6</v>
      </c>
      <c r="D89" s="103">
        <v>3</v>
      </c>
      <c r="E89" s="202"/>
      <c r="F89" s="156" t="s">
        <v>36</v>
      </c>
      <c r="G89" s="88">
        <f>2800000+150000-9000</f>
        <v>2941000</v>
      </c>
      <c r="H89" s="82"/>
      <c r="I89" s="131">
        <f>195270.46+12116.57</f>
        <v>207387.03</v>
      </c>
      <c r="J89" s="138" t="e">
        <f t="shared" si="2"/>
        <v>#DIV/0!</v>
      </c>
      <c r="K89" s="203">
        <v>0</v>
      </c>
      <c r="L89" s="82">
        <f>191915.44+12116.57</f>
        <v>204032.01</v>
      </c>
      <c r="M89" s="89" t="e">
        <f t="shared" si="4"/>
        <v>#DIV/0!</v>
      </c>
      <c r="N89" s="82"/>
      <c r="O89" s="88">
        <f>12116.57+190837.76</f>
        <v>202954.33000000002</v>
      </c>
      <c r="P89" s="89" t="e">
        <f t="shared" si="21"/>
        <v>#DIV/0!</v>
      </c>
      <c r="Q89" s="200">
        <f>N89+K89+H89</f>
        <v>0</v>
      </c>
      <c r="R89" s="200"/>
      <c r="S89" s="200">
        <f>189789.62+12475.89</f>
        <v>202265.51</v>
      </c>
      <c r="T89" s="200">
        <v>12325.09</v>
      </c>
      <c r="U89" s="200">
        <v>13200.75</v>
      </c>
      <c r="V89" s="200">
        <v>13200.75</v>
      </c>
      <c r="W89" s="200">
        <v>13200.75</v>
      </c>
      <c r="X89" s="421">
        <v>13884.88</v>
      </c>
      <c r="Y89" s="235">
        <v>0</v>
      </c>
      <c r="Z89" s="235">
        <v>0</v>
      </c>
      <c r="AA89" s="425">
        <v>0</v>
      </c>
      <c r="AB89" s="232">
        <f>+I89+L89+O89+S89+T89+U89+V89+W89+X89+Y89+Z89+AA89</f>
        <v>882451.1000000001</v>
      </c>
      <c r="AC89" s="443" t="e">
        <f t="shared" si="23"/>
        <v>#DIV/0!</v>
      </c>
      <c r="AD89" s="82"/>
      <c r="AE89" s="131"/>
      <c r="AF89" s="89" t="e">
        <f t="shared" si="5"/>
        <v>#DIV/0!</v>
      </c>
      <c r="AG89" s="82"/>
      <c r="AH89" s="131"/>
      <c r="AI89" s="89" t="e">
        <f t="shared" si="6"/>
        <v>#DIV/0!</v>
      </c>
      <c r="AJ89" s="82"/>
      <c r="AK89" s="131"/>
      <c r="AL89" s="89" t="e">
        <f t="shared" si="7"/>
        <v>#DIV/0!</v>
      </c>
      <c r="AM89" s="200">
        <f t="shared" si="75"/>
        <v>0</v>
      </c>
      <c r="AN89" s="200">
        <f t="shared" si="75"/>
        <v>0</v>
      </c>
      <c r="AO89" s="204" t="e">
        <f t="shared" si="56"/>
        <v>#DIV/0!</v>
      </c>
      <c r="AP89" s="82"/>
      <c r="AQ89" s="131"/>
      <c r="AR89" s="98" t="e">
        <f t="shared" si="9"/>
        <v>#DIV/0!</v>
      </c>
      <c r="AS89" s="82"/>
      <c r="AT89" s="131"/>
      <c r="AU89" s="99" t="e">
        <f t="shared" si="10"/>
        <v>#DIV/0!</v>
      </c>
      <c r="AV89" s="87"/>
      <c r="AW89" s="87"/>
      <c r="AX89" s="100" t="e">
        <f t="shared" si="11"/>
        <v>#DIV/0!</v>
      </c>
      <c r="AY89" s="88">
        <f t="shared" si="76"/>
        <v>0</v>
      </c>
      <c r="AZ89" s="88">
        <f t="shared" si="76"/>
        <v>0</v>
      </c>
      <c r="BA89" s="204" t="e">
        <f t="shared" si="73"/>
        <v>#DIV/0!</v>
      </c>
      <c r="BB89" s="82"/>
      <c r="BC89" s="82"/>
      <c r="BD89" s="100" t="e">
        <f t="shared" si="14"/>
        <v>#DIV/0!</v>
      </c>
      <c r="BE89" s="82"/>
      <c r="BF89" s="82"/>
      <c r="BG89" s="100" t="e">
        <f t="shared" si="15"/>
        <v>#DIV/0!</v>
      </c>
      <c r="BH89" s="82"/>
      <c r="BI89" s="131"/>
      <c r="BJ89" s="99" t="e">
        <f t="shared" si="16"/>
        <v>#DIV/0!</v>
      </c>
      <c r="BK89" s="200">
        <f t="shared" si="77"/>
        <v>0</v>
      </c>
      <c r="BL89" s="200">
        <f t="shared" si="77"/>
        <v>0</v>
      </c>
      <c r="BM89" s="204" t="e">
        <f t="shared" si="74"/>
        <v>#DIV/0!</v>
      </c>
      <c r="BN89" s="97">
        <f>I89+L89+O89+AE89+AH89+AK89+AQ89+AT89+AW89+BC89+BF89+BI89</f>
        <v>614373.3700000001</v>
      </c>
      <c r="BO89" s="134">
        <f t="shared" si="18"/>
        <v>0.20889947976878617</v>
      </c>
      <c r="BP89" s="197">
        <f t="shared" si="71"/>
        <v>2058548.9</v>
      </c>
    </row>
    <row r="90" spans="1:68" ht="13.5" thickBot="1">
      <c r="A90" s="102">
        <v>2</v>
      </c>
      <c r="B90" s="121">
        <v>2</v>
      </c>
      <c r="C90" s="121">
        <v>6</v>
      </c>
      <c r="D90" s="121">
        <v>9</v>
      </c>
      <c r="E90" s="229"/>
      <c r="F90" s="258" t="s">
        <v>88</v>
      </c>
      <c r="G90" s="110">
        <v>10000</v>
      </c>
      <c r="H90" s="124"/>
      <c r="I90" s="133"/>
      <c r="J90" s="139" t="e">
        <f t="shared" si="2"/>
        <v>#DIV/0!</v>
      </c>
      <c r="K90" s="230"/>
      <c r="L90" s="124"/>
      <c r="M90" s="101" t="e">
        <f t="shared" si="4"/>
        <v>#DIV/0!</v>
      </c>
      <c r="N90" s="124"/>
      <c r="O90" s="124"/>
      <c r="P90" s="101" t="e">
        <f t="shared" si="21"/>
        <v>#DIV/0!</v>
      </c>
      <c r="Q90" s="209">
        <f>N90+K90+H90</f>
        <v>0</v>
      </c>
      <c r="R90" s="209"/>
      <c r="S90" s="209"/>
      <c r="T90" s="209"/>
      <c r="U90" s="209"/>
      <c r="V90" s="209"/>
      <c r="W90" s="209"/>
      <c r="X90" s="422"/>
      <c r="Y90" s="235"/>
      <c r="Z90" s="235"/>
      <c r="AA90" s="425"/>
      <c r="AB90" s="232">
        <f>+I90+L90+O90+S90+T90+U90+V90+W90+X90+Y90</f>
        <v>0</v>
      </c>
      <c r="AC90" s="445" t="e">
        <f t="shared" si="23"/>
        <v>#DIV/0!</v>
      </c>
      <c r="AD90" s="124"/>
      <c r="AE90" s="133"/>
      <c r="AF90" s="101" t="e">
        <f t="shared" si="5"/>
        <v>#DIV/0!</v>
      </c>
      <c r="AG90" s="124"/>
      <c r="AH90" s="133"/>
      <c r="AI90" s="101" t="e">
        <f t="shared" si="6"/>
        <v>#DIV/0!</v>
      </c>
      <c r="AJ90" s="124"/>
      <c r="AK90" s="133"/>
      <c r="AL90" s="101" t="e">
        <f t="shared" si="7"/>
        <v>#DIV/0!</v>
      </c>
      <c r="AM90" s="209">
        <f t="shared" si="75"/>
        <v>0</v>
      </c>
      <c r="AN90" s="209">
        <f t="shared" si="75"/>
        <v>0</v>
      </c>
      <c r="AO90" s="210" t="e">
        <f t="shared" si="56"/>
        <v>#DIV/0!</v>
      </c>
      <c r="AP90" s="124"/>
      <c r="AQ90" s="133"/>
      <c r="AR90" s="98" t="e">
        <f t="shared" si="9"/>
        <v>#DIV/0!</v>
      </c>
      <c r="AS90" s="124"/>
      <c r="AT90" s="133"/>
      <c r="AU90" s="108" t="e">
        <f t="shared" si="10"/>
        <v>#DIV/0!</v>
      </c>
      <c r="AV90" s="123"/>
      <c r="AW90" s="123"/>
      <c r="AX90" s="109" t="e">
        <f t="shared" si="11"/>
        <v>#DIV/0!</v>
      </c>
      <c r="AY90" s="110">
        <f t="shared" si="76"/>
        <v>0</v>
      </c>
      <c r="AZ90" s="110">
        <f t="shared" si="76"/>
        <v>0</v>
      </c>
      <c r="BA90" s="210" t="e">
        <f t="shared" si="73"/>
        <v>#DIV/0!</v>
      </c>
      <c r="BB90" s="124"/>
      <c r="BC90" s="124"/>
      <c r="BD90" s="109" t="e">
        <f t="shared" si="14"/>
        <v>#DIV/0!</v>
      </c>
      <c r="BE90" s="124"/>
      <c r="BF90" s="124"/>
      <c r="BG90" s="109" t="e">
        <f t="shared" si="15"/>
        <v>#DIV/0!</v>
      </c>
      <c r="BH90" s="124"/>
      <c r="BI90" s="133"/>
      <c r="BJ90" s="108" t="e">
        <f t="shared" si="16"/>
        <v>#DIV/0!</v>
      </c>
      <c r="BK90" s="209">
        <f t="shared" si="77"/>
        <v>0</v>
      </c>
      <c r="BL90" s="209">
        <f t="shared" si="77"/>
        <v>0</v>
      </c>
      <c r="BM90" s="210" t="e">
        <f t="shared" si="74"/>
        <v>#DIV/0!</v>
      </c>
      <c r="BN90" s="132">
        <f>I90+L90+O90+AE90+AH90+AK90+AQ90+AT90+AW90+BC90+BF90+BI90</f>
        <v>0</v>
      </c>
      <c r="BO90" s="135">
        <f t="shared" si="18"/>
        <v>0</v>
      </c>
      <c r="BP90" s="197">
        <f t="shared" si="71"/>
        <v>10000</v>
      </c>
    </row>
    <row r="91" spans="1:68" s="78" customFormat="1" ht="9.75" customHeight="1" thickBot="1">
      <c r="A91" s="102"/>
      <c r="B91" s="220"/>
      <c r="C91" s="220"/>
      <c r="D91" s="220"/>
      <c r="E91" s="260"/>
      <c r="F91" s="222"/>
      <c r="G91" s="223"/>
      <c r="H91" s="223"/>
      <c r="I91" s="175"/>
      <c r="J91" s="176"/>
      <c r="K91" s="177"/>
      <c r="L91" s="174"/>
      <c r="M91" s="183"/>
      <c r="N91" s="174"/>
      <c r="O91" s="174"/>
      <c r="P91" s="183"/>
      <c r="Q91" s="226"/>
      <c r="R91" s="226"/>
      <c r="S91" s="226"/>
      <c r="T91" s="226"/>
      <c r="U91" s="226"/>
      <c r="V91" s="226"/>
      <c r="W91" s="226"/>
      <c r="X91" s="428"/>
      <c r="Y91" s="235"/>
      <c r="Z91" s="235"/>
      <c r="AA91" s="425"/>
      <c r="AB91" s="232">
        <f>+I91+L91+O91+S91+T91+U91+V91+W91+X91+Y91</f>
        <v>0</v>
      </c>
      <c r="AC91" s="447"/>
      <c r="AD91" s="223"/>
      <c r="AE91" s="175"/>
      <c r="AF91" s="183"/>
      <c r="AG91" s="223"/>
      <c r="AH91" s="175"/>
      <c r="AI91" s="183"/>
      <c r="AJ91" s="223"/>
      <c r="AK91" s="175"/>
      <c r="AL91" s="183"/>
      <c r="AM91" s="226"/>
      <c r="AN91" s="226"/>
      <c r="AO91" s="227"/>
      <c r="AP91" s="223"/>
      <c r="AQ91" s="175"/>
      <c r="AR91" s="254"/>
      <c r="AS91" s="223"/>
      <c r="AT91" s="175"/>
      <c r="AU91" s="224"/>
      <c r="AV91" s="181"/>
      <c r="AW91" s="181"/>
      <c r="AX91" s="223"/>
      <c r="AY91" s="174"/>
      <c r="AZ91" s="174"/>
      <c r="BA91" s="227"/>
      <c r="BB91" s="174"/>
      <c r="BC91" s="174"/>
      <c r="BD91" s="223"/>
      <c r="BE91" s="174"/>
      <c r="BF91" s="174"/>
      <c r="BG91" s="223"/>
      <c r="BH91" s="174"/>
      <c r="BI91" s="175"/>
      <c r="BJ91" s="224"/>
      <c r="BK91" s="226"/>
      <c r="BL91" s="226"/>
      <c r="BM91" s="227"/>
      <c r="BN91" s="224"/>
      <c r="BO91" s="183"/>
      <c r="BP91" s="197">
        <f t="shared" si="71"/>
        <v>0</v>
      </c>
    </row>
    <row r="92" spans="1:68" s="76" customFormat="1" ht="21.75" thickBot="1">
      <c r="A92" s="102">
        <v>2</v>
      </c>
      <c r="B92" s="126">
        <v>2</v>
      </c>
      <c r="C92" s="126">
        <v>7</v>
      </c>
      <c r="D92" s="127"/>
      <c r="E92" s="128"/>
      <c r="F92" s="259" t="s">
        <v>258</v>
      </c>
      <c r="G92" s="81">
        <f>G93+G97</f>
        <v>197100</v>
      </c>
      <c r="H92" s="81">
        <f>H93+H97</f>
        <v>0</v>
      </c>
      <c r="I92" s="118">
        <f>I93+I97</f>
        <v>0</v>
      </c>
      <c r="J92" s="112" t="e">
        <f aca="true" t="shared" si="78" ref="J92:J158">I92/H92</f>
        <v>#DIV/0!</v>
      </c>
      <c r="K92" s="255">
        <f>K93+K97</f>
        <v>0</v>
      </c>
      <c r="L92" s="81">
        <f>L93+L97</f>
        <v>18930.34</v>
      </c>
      <c r="M92" s="115" t="e">
        <f aca="true" t="shared" si="79" ref="M92:M158">L92/K92</f>
        <v>#DIV/0!</v>
      </c>
      <c r="N92" s="81">
        <f aca="true" t="shared" si="80" ref="N92:S92">N93+N97</f>
        <v>0</v>
      </c>
      <c r="O92" s="81">
        <f t="shared" si="80"/>
        <v>13865</v>
      </c>
      <c r="P92" s="81" t="e">
        <f t="shared" si="80"/>
        <v>#DIV/0!</v>
      </c>
      <c r="Q92" s="81">
        <f t="shared" si="80"/>
        <v>0</v>
      </c>
      <c r="R92" s="81">
        <f t="shared" si="80"/>
        <v>0</v>
      </c>
      <c r="S92" s="81">
        <f t="shared" si="80"/>
        <v>9191</v>
      </c>
      <c r="T92" s="81">
        <f>T93+T97+T94</f>
        <v>38869.03</v>
      </c>
      <c r="U92" s="81">
        <f aca="true" t="shared" si="81" ref="U92:AA92">SUM(U93:U97)</f>
        <v>112492.27</v>
      </c>
      <c r="V92" s="81">
        <f t="shared" si="81"/>
        <v>12342.81</v>
      </c>
      <c r="W92" s="81">
        <f>SUM(W93:W97)</f>
        <v>75130</v>
      </c>
      <c r="X92" s="118">
        <f t="shared" si="81"/>
        <v>68694.58</v>
      </c>
      <c r="Y92" s="232">
        <f t="shared" si="81"/>
        <v>0</v>
      </c>
      <c r="Z92" s="232">
        <f t="shared" si="81"/>
        <v>0</v>
      </c>
      <c r="AA92" s="426">
        <f t="shared" si="81"/>
        <v>0</v>
      </c>
      <c r="AB92" s="232">
        <f>AB93+AB97+AB94</f>
        <v>349515.03</v>
      </c>
      <c r="AC92" s="442" t="e">
        <f t="shared" si="23"/>
        <v>#DIV/0!</v>
      </c>
      <c r="AD92" s="81">
        <f>AD93+AD97</f>
        <v>0</v>
      </c>
      <c r="AE92" s="118">
        <f>AE93+AE97</f>
        <v>0</v>
      </c>
      <c r="AF92" s="115" t="e">
        <f aca="true" t="shared" si="82" ref="AF92:AF158">AE92/AD92</f>
        <v>#DIV/0!</v>
      </c>
      <c r="AG92" s="81">
        <f>AG93+AG97</f>
        <v>0</v>
      </c>
      <c r="AH92" s="118">
        <f>AH93+AH97</f>
        <v>0</v>
      </c>
      <c r="AI92" s="115" t="e">
        <f aca="true" t="shared" si="83" ref="AI92:AI158">AH92/AG92</f>
        <v>#DIV/0!</v>
      </c>
      <c r="AJ92" s="81">
        <f>AJ93+AJ97</f>
        <v>0</v>
      </c>
      <c r="AK92" s="118">
        <f>AK93+AK97</f>
        <v>0</v>
      </c>
      <c r="AL92" s="115" t="e">
        <f aca="true" t="shared" si="84" ref="AL92:AL158">AK92/AJ92</f>
        <v>#DIV/0!</v>
      </c>
      <c r="AM92" s="81">
        <f>AM93+AM97</f>
        <v>0</v>
      </c>
      <c r="AN92" s="81">
        <f>AN93+AN97</f>
        <v>0</v>
      </c>
      <c r="AO92" s="201" t="e">
        <f t="shared" si="56"/>
        <v>#DIV/0!</v>
      </c>
      <c r="AP92" s="81">
        <f>AP93+AP97</f>
        <v>0</v>
      </c>
      <c r="AQ92" s="118">
        <f>AQ93+AQ97</f>
        <v>0</v>
      </c>
      <c r="AR92" s="117" t="e">
        <f aca="true" t="shared" si="85" ref="AR92:AR158">AQ92/AP92</f>
        <v>#DIV/0!</v>
      </c>
      <c r="AS92" s="81">
        <f>AS93+AS97</f>
        <v>0</v>
      </c>
      <c r="AT92" s="118">
        <f>AT93+AT97</f>
        <v>0</v>
      </c>
      <c r="AU92" s="118" t="e">
        <f aca="true" t="shared" si="86" ref="AU92:AU158">AT92/AS92</f>
        <v>#DIV/0!</v>
      </c>
      <c r="AV92" s="81">
        <f>AV93+AV97</f>
        <v>0</v>
      </c>
      <c r="AW92" s="81">
        <f>AW93+AW97</f>
        <v>0</v>
      </c>
      <c r="AX92" s="81" t="e">
        <f aca="true" t="shared" si="87" ref="AX92:AX158">AW92/AV92</f>
        <v>#DIV/0!</v>
      </c>
      <c r="AY92" s="81">
        <f>AY93+AY97</f>
        <v>0</v>
      </c>
      <c r="AZ92" s="81">
        <f>AZ93+AZ97</f>
        <v>0</v>
      </c>
      <c r="BA92" s="201" t="e">
        <f t="shared" si="73"/>
        <v>#DIV/0!</v>
      </c>
      <c r="BB92" s="81"/>
      <c r="BC92" s="81"/>
      <c r="BD92" s="81" t="e">
        <f aca="true" t="shared" si="88" ref="BD92:BD158">BC92/BB92</f>
        <v>#DIV/0!</v>
      </c>
      <c r="BE92" s="81"/>
      <c r="BF92" s="81"/>
      <c r="BG92" s="81" t="e">
        <f aca="true" t="shared" si="89" ref="BG92:BG158">BF92/BE92</f>
        <v>#DIV/0!</v>
      </c>
      <c r="BH92" s="81">
        <f>BH93+BH97</f>
        <v>0</v>
      </c>
      <c r="BI92" s="118">
        <f>BI93+BI97</f>
        <v>0</v>
      </c>
      <c r="BJ92" s="118" t="e">
        <f aca="true" t="shared" si="90" ref="BJ92:BJ158">BI92/BH92</f>
        <v>#DIV/0!</v>
      </c>
      <c r="BK92" s="81">
        <f>BK93+BK97</f>
        <v>0</v>
      </c>
      <c r="BL92" s="81">
        <f>BL93+BL97</f>
        <v>0</v>
      </c>
      <c r="BM92" s="201" t="e">
        <f t="shared" si="74"/>
        <v>#DIV/0!</v>
      </c>
      <c r="BN92" s="118">
        <f>BN93+BN97</f>
        <v>15142.27</v>
      </c>
      <c r="BO92" s="115">
        <f aca="true" t="shared" si="91" ref="BO92:BO158">BN92/G92</f>
        <v>0.07682531709791984</v>
      </c>
      <c r="BP92" s="197">
        <f t="shared" si="71"/>
        <v>-152415.03000000003</v>
      </c>
    </row>
    <row r="93" spans="1:68" ht="13.5" thickBot="1">
      <c r="A93" s="102">
        <v>2</v>
      </c>
      <c r="B93" s="103">
        <v>2</v>
      </c>
      <c r="C93" s="103">
        <v>7</v>
      </c>
      <c r="D93" s="103">
        <v>1</v>
      </c>
      <c r="E93" s="206" t="s">
        <v>149</v>
      </c>
      <c r="F93" s="155" t="s">
        <v>61</v>
      </c>
      <c r="G93" s="82">
        <f>50000+190000</f>
        <v>240000</v>
      </c>
      <c r="H93" s="82">
        <f>H94+H95+H96</f>
        <v>0</v>
      </c>
      <c r="I93" s="131">
        <f>I94+I95+I96</f>
        <v>0</v>
      </c>
      <c r="J93" s="138" t="e">
        <f t="shared" si="78"/>
        <v>#DIV/0!</v>
      </c>
      <c r="K93" s="203">
        <f>K94+K95+K96</f>
        <v>0</v>
      </c>
      <c r="L93" s="82">
        <f>L94+L95+L96</f>
        <v>0</v>
      </c>
      <c r="M93" s="89" t="e">
        <f t="shared" si="79"/>
        <v>#DIV/0!</v>
      </c>
      <c r="N93" s="82">
        <f>N94+N95+N96</f>
        <v>0</v>
      </c>
      <c r="O93" s="82">
        <f>O94+O95+O96</f>
        <v>0</v>
      </c>
      <c r="P93" s="89" t="e">
        <f aca="true" t="shared" si="92" ref="P93:P158">O93/N93</f>
        <v>#DIV/0!</v>
      </c>
      <c r="Q93" s="82">
        <f>Q94+Q95+Q96</f>
        <v>0</v>
      </c>
      <c r="R93" s="82"/>
      <c r="S93" s="82"/>
      <c r="T93" s="82"/>
      <c r="U93" s="82"/>
      <c r="V93" s="82"/>
      <c r="W93" s="82"/>
      <c r="X93" s="131"/>
      <c r="Y93" s="232"/>
      <c r="Z93" s="426">
        <v>0</v>
      </c>
      <c r="AA93" s="426">
        <v>0</v>
      </c>
      <c r="AB93" s="232">
        <f>+AA93+Z93</f>
        <v>0</v>
      </c>
      <c r="AC93" s="443" t="e">
        <f t="shared" si="23"/>
        <v>#DIV/0!</v>
      </c>
      <c r="AD93" s="82">
        <f>AD94+AD95+AD96</f>
        <v>0</v>
      </c>
      <c r="AE93" s="131">
        <f>AE94+AE95+AE96</f>
        <v>0</v>
      </c>
      <c r="AF93" s="89" t="e">
        <f t="shared" si="82"/>
        <v>#DIV/0!</v>
      </c>
      <c r="AG93" s="82">
        <f>AG94+AG95+AG96</f>
        <v>0</v>
      </c>
      <c r="AH93" s="131">
        <f>AH94+AH95+AH96</f>
        <v>0</v>
      </c>
      <c r="AI93" s="89" t="e">
        <f t="shared" si="83"/>
        <v>#DIV/0!</v>
      </c>
      <c r="AJ93" s="82">
        <f>AJ94+AJ95+AJ96</f>
        <v>0</v>
      </c>
      <c r="AK93" s="131">
        <f>AK94+AK95+AK96</f>
        <v>0</v>
      </c>
      <c r="AL93" s="89" t="e">
        <f t="shared" si="84"/>
        <v>#DIV/0!</v>
      </c>
      <c r="AM93" s="82">
        <f>AM94+AM95+AM96</f>
        <v>0</v>
      </c>
      <c r="AN93" s="82">
        <f>AN94+AN95+AN96</f>
        <v>0</v>
      </c>
      <c r="AO93" s="204" t="e">
        <f t="shared" si="56"/>
        <v>#DIV/0!</v>
      </c>
      <c r="AP93" s="82">
        <f>AP94+AP95+AP96</f>
        <v>0</v>
      </c>
      <c r="AQ93" s="131">
        <f>AQ94+AQ95+AQ96</f>
        <v>0</v>
      </c>
      <c r="AR93" s="98" t="e">
        <f t="shared" si="85"/>
        <v>#DIV/0!</v>
      </c>
      <c r="AS93" s="82">
        <f>AS94+AS95+AS96</f>
        <v>0</v>
      </c>
      <c r="AT93" s="131">
        <f>AT94+AT95+AT96</f>
        <v>0</v>
      </c>
      <c r="AU93" s="99" t="e">
        <f t="shared" si="86"/>
        <v>#DIV/0!</v>
      </c>
      <c r="AV93" s="82">
        <f>AV94+AV95+AV96</f>
        <v>0</v>
      </c>
      <c r="AW93" s="82">
        <f>AW94+AW95+AW96</f>
        <v>0</v>
      </c>
      <c r="AX93" s="100" t="e">
        <f t="shared" si="87"/>
        <v>#DIV/0!</v>
      </c>
      <c r="AY93" s="82">
        <f>AY94+AY95+AY96</f>
        <v>0</v>
      </c>
      <c r="AZ93" s="82">
        <f>AZ94+AZ95+AZ96</f>
        <v>0</v>
      </c>
      <c r="BA93" s="204" t="e">
        <f t="shared" si="73"/>
        <v>#DIV/0!</v>
      </c>
      <c r="BB93" s="82"/>
      <c r="BC93" s="82"/>
      <c r="BD93" s="100" t="e">
        <f t="shared" si="88"/>
        <v>#DIV/0!</v>
      </c>
      <c r="BE93" s="82"/>
      <c r="BF93" s="82"/>
      <c r="BG93" s="100" t="e">
        <f t="shared" si="89"/>
        <v>#DIV/0!</v>
      </c>
      <c r="BH93" s="82">
        <f>BH94+BH95+BH96</f>
        <v>0</v>
      </c>
      <c r="BI93" s="131">
        <f>BI94+BI95+BI96</f>
        <v>0</v>
      </c>
      <c r="BJ93" s="99" t="e">
        <f t="shared" si="90"/>
        <v>#DIV/0!</v>
      </c>
      <c r="BK93" s="82">
        <f>BK94+BK95+BK96</f>
        <v>0</v>
      </c>
      <c r="BL93" s="82">
        <f>BL94+BL95+BL96</f>
        <v>0</v>
      </c>
      <c r="BM93" s="204" t="e">
        <f t="shared" si="74"/>
        <v>#DIV/0!</v>
      </c>
      <c r="BN93" s="131">
        <f>BN94+BN95+BN96</f>
        <v>0</v>
      </c>
      <c r="BO93" s="134">
        <f t="shared" si="91"/>
        <v>0</v>
      </c>
      <c r="BP93" s="197">
        <f t="shared" si="71"/>
        <v>240000</v>
      </c>
    </row>
    <row r="94" spans="1:68" s="78" customFormat="1" ht="23.25" thickBot="1">
      <c r="A94" s="83">
        <v>2</v>
      </c>
      <c r="B94" s="84">
        <v>2</v>
      </c>
      <c r="C94" s="84">
        <v>7</v>
      </c>
      <c r="D94" s="84">
        <v>1</v>
      </c>
      <c r="E94" s="85" t="s">
        <v>150</v>
      </c>
      <c r="F94" s="90" t="s">
        <v>90</v>
      </c>
      <c r="G94" s="88">
        <f>60000+350000</f>
        <v>410000</v>
      </c>
      <c r="H94" s="88"/>
      <c r="I94" s="97"/>
      <c r="J94" s="138" t="e">
        <f t="shared" si="78"/>
        <v>#DIV/0!</v>
      </c>
      <c r="K94" s="148"/>
      <c r="L94" s="88"/>
      <c r="M94" s="89" t="e">
        <f t="shared" si="79"/>
        <v>#DIV/0!</v>
      </c>
      <c r="N94" s="88"/>
      <c r="O94" s="88"/>
      <c r="P94" s="89" t="e">
        <f t="shared" si="92"/>
        <v>#DIV/0!</v>
      </c>
      <c r="Q94" s="200">
        <f>N94+K94+H94</f>
        <v>0</v>
      </c>
      <c r="R94" s="200"/>
      <c r="S94" s="200"/>
      <c r="T94" s="200">
        <v>32450</v>
      </c>
      <c r="U94" s="200">
        <f>32450+32450+32450</f>
        <v>97350</v>
      </c>
      <c r="V94" s="200"/>
      <c r="W94" s="200">
        <f>32450+32450</f>
        <v>64900</v>
      </c>
      <c r="X94" s="421">
        <v>32450</v>
      </c>
      <c r="Y94" s="235"/>
      <c r="Z94" s="425"/>
      <c r="AA94" s="425">
        <v>0</v>
      </c>
      <c r="AB94" s="238">
        <f>+I94+L94+O94+S94+T94+U94+V94+W94+X94+Y94+Z94+AA94</f>
        <v>227150</v>
      </c>
      <c r="AC94" s="443" t="e">
        <f t="shared" si="23"/>
        <v>#DIV/0!</v>
      </c>
      <c r="AD94" s="88"/>
      <c r="AE94" s="97"/>
      <c r="AF94" s="89" t="e">
        <f t="shared" si="82"/>
        <v>#DIV/0!</v>
      </c>
      <c r="AG94" s="88"/>
      <c r="AH94" s="97"/>
      <c r="AI94" s="89" t="e">
        <f t="shared" si="83"/>
        <v>#DIV/0!</v>
      </c>
      <c r="AJ94" s="88"/>
      <c r="AK94" s="97"/>
      <c r="AL94" s="89" t="e">
        <f t="shared" si="84"/>
        <v>#DIV/0!</v>
      </c>
      <c r="AM94" s="200">
        <f aca="true" t="shared" si="93" ref="AM94:AN96">AJ94+AG94+AD94</f>
        <v>0</v>
      </c>
      <c r="AN94" s="200">
        <f t="shared" si="93"/>
        <v>0</v>
      </c>
      <c r="AO94" s="204" t="e">
        <f t="shared" si="56"/>
        <v>#DIV/0!</v>
      </c>
      <c r="AP94" s="88"/>
      <c r="AQ94" s="97"/>
      <c r="AR94" s="98" t="e">
        <f t="shared" si="85"/>
        <v>#DIV/0!</v>
      </c>
      <c r="AS94" s="88"/>
      <c r="AT94" s="97"/>
      <c r="AU94" s="99" t="e">
        <f t="shared" si="86"/>
        <v>#DIV/0!</v>
      </c>
      <c r="AV94" s="86"/>
      <c r="AW94" s="86"/>
      <c r="AX94" s="100" t="e">
        <f t="shared" si="87"/>
        <v>#DIV/0!</v>
      </c>
      <c r="AY94" s="88">
        <f aca="true" t="shared" si="94" ref="AY94:AZ96">AV94+AS94+AP94</f>
        <v>0</v>
      </c>
      <c r="AZ94" s="88">
        <f t="shared" si="94"/>
        <v>0</v>
      </c>
      <c r="BA94" s="204" t="e">
        <f t="shared" si="73"/>
        <v>#DIV/0!</v>
      </c>
      <c r="BB94" s="88"/>
      <c r="BC94" s="88"/>
      <c r="BD94" s="100" t="e">
        <f t="shared" si="88"/>
        <v>#DIV/0!</v>
      </c>
      <c r="BE94" s="88"/>
      <c r="BF94" s="88"/>
      <c r="BG94" s="100" t="e">
        <f t="shared" si="89"/>
        <v>#DIV/0!</v>
      </c>
      <c r="BH94" s="88"/>
      <c r="BI94" s="97"/>
      <c r="BJ94" s="99" t="e">
        <f t="shared" si="90"/>
        <v>#DIV/0!</v>
      </c>
      <c r="BK94" s="200">
        <f aca="true" t="shared" si="95" ref="BK94:BL96">BH94+BE94+BB94</f>
        <v>0</v>
      </c>
      <c r="BL94" s="200">
        <f t="shared" si="95"/>
        <v>0</v>
      </c>
      <c r="BM94" s="204" t="e">
        <f t="shared" si="74"/>
        <v>#DIV/0!</v>
      </c>
      <c r="BN94" s="97">
        <f>I94+L94+O94+AE94+AH94+AK94+AQ94+AT94+AW94+BC94+BF94+BI94</f>
        <v>0</v>
      </c>
      <c r="BO94" s="134">
        <f t="shared" si="91"/>
        <v>0</v>
      </c>
      <c r="BP94" s="197">
        <f t="shared" si="71"/>
        <v>182850</v>
      </c>
    </row>
    <row r="95" spans="1:68" s="78" customFormat="1" ht="13.5" thickBot="1">
      <c r="A95" s="170">
        <v>2</v>
      </c>
      <c r="B95" s="171">
        <v>2</v>
      </c>
      <c r="C95" s="171">
        <v>7</v>
      </c>
      <c r="D95" s="171">
        <v>1</v>
      </c>
      <c r="E95" s="172" t="s">
        <v>156</v>
      </c>
      <c r="F95" s="173" t="s">
        <v>136</v>
      </c>
      <c r="G95" s="174">
        <v>50000</v>
      </c>
      <c r="H95" s="174"/>
      <c r="I95" s="175">
        <v>0</v>
      </c>
      <c r="J95" s="176" t="e">
        <f t="shared" si="78"/>
        <v>#DIV/0!</v>
      </c>
      <c r="K95" s="177">
        <v>0</v>
      </c>
      <c r="L95" s="174">
        <v>0</v>
      </c>
      <c r="M95" s="178" t="e">
        <f t="shared" si="79"/>
        <v>#DIV/0!</v>
      </c>
      <c r="N95" s="174"/>
      <c r="O95" s="174">
        <v>0</v>
      </c>
      <c r="P95" s="178" t="e">
        <f t="shared" si="92"/>
        <v>#DIV/0!</v>
      </c>
      <c r="Q95" s="226">
        <f>N95+K95+H95</f>
        <v>0</v>
      </c>
      <c r="R95" s="226"/>
      <c r="S95" s="226">
        <v>0</v>
      </c>
      <c r="T95" s="226">
        <v>0</v>
      </c>
      <c r="U95" s="226">
        <v>0</v>
      </c>
      <c r="V95" s="226">
        <v>0</v>
      </c>
      <c r="W95" s="226">
        <v>0</v>
      </c>
      <c r="X95" s="428">
        <v>0</v>
      </c>
      <c r="Y95" s="235">
        <v>0</v>
      </c>
      <c r="Z95" s="424">
        <v>0</v>
      </c>
      <c r="AA95" s="425">
        <v>0</v>
      </c>
      <c r="AB95" s="232">
        <f>+I95+L95+O95+S95+T95+U95+V95+W95+X95+Y95+Z95+AA95</f>
        <v>0</v>
      </c>
      <c r="AC95" s="447" t="e">
        <f t="shared" si="23"/>
        <v>#DIV/0!</v>
      </c>
      <c r="AD95" s="174"/>
      <c r="AE95" s="175"/>
      <c r="AF95" s="178" t="e">
        <f t="shared" si="82"/>
        <v>#DIV/0!</v>
      </c>
      <c r="AG95" s="174"/>
      <c r="AH95" s="175"/>
      <c r="AI95" s="178" t="e">
        <f t="shared" si="83"/>
        <v>#DIV/0!</v>
      </c>
      <c r="AJ95" s="174"/>
      <c r="AK95" s="175"/>
      <c r="AL95" s="178" t="e">
        <f t="shared" si="84"/>
        <v>#DIV/0!</v>
      </c>
      <c r="AM95" s="226">
        <f t="shared" si="93"/>
        <v>0</v>
      </c>
      <c r="AN95" s="226">
        <f t="shared" si="93"/>
        <v>0</v>
      </c>
      <c r="AO95" s="227" t="e">
        <f t="shared" si="56"/>
        <v>#DIV/0!</v>
      </c>
      <c r="AP95" s="174"/>
      <c r="AQ95" s="175"/>
      <c r="AR95" s="179" t="e">
        <f t="shared" si="85"/>
        <v>#DIV/0!</v>
      </c>
      <c r="AS95" s="174"/>
      <c r="AT95" s="175"/>
      <c r="AU95" s="180" t="e">
        <f t="shared" si="86"/>
        <v>#DIV/0!</v>
      </c>
      <c r="AV95" s="181"/>
      <c r="AW95" s="181"/>
      <c r="AX95" s="182" t="e">
        <f t="shared" si="87"/>
        <v>#DIV/0!</v>
      </c>
      <c r="AY95" s="174">
        <f t="shared" si="94"/>
        <v>0</v>
      </c>
      <c r="AZ95" s="174">
        <f t="shared" si="94"/>
        <v>0</v>
      </c>
      <c r="BA95" s="227" t="e">
        <f t="shared" si="73"/>
        <v>#DIV/0!</v>
      </c>
      <c r="BB95" s="174"/>
      <c r="BC95" s="174"/>
      <c r="BD95" s="182" t="e">
        <f t="shared" si="88"/>
        <v>#DIV/0!</v>
      </c>
      <c r="BE95" s="174"/>
      <c r="BF95" s="174"/>
      <c r="BG95" s="182" t="e">
        <f t="shared" si="89"/>
        <v>#DIV/0!</v>
      </c>
      <c r="BH95" s="174"/>
      <c r="BI95" s="175"/>
      <c r="BJ95" s="180" t="e">
        <f t="shared" si="90"/>
        <v>#DIV/0!</v>
      </c>
      <c r="BK95" s="226">
        <f t="shared" si="95"/>
        <v>0</v>
      </c>
      <c r="BL95" s="226">
        <f t="shared" si="95"/>
        <v>0</v>
      </c>
      <c r="BM95" s="227" t="e">
        <f t="shared" si="74"/>
        <v>#DIV/0!</v>
      </c>
      <c r="BN95" s="175">
        <f>I95+L95+O95+AE95+AH95+AK95+AQ95+AT95+AW95+BC95+BF95+BI95</f>
        <v>0</v>
      </c>
      <c r="BO95" s="183">
        <f t="shared" si="91"/>
        <v>0</v>
      </c>
      <c r="BP95" s="197">
        <f t="shared" si="71"/>
        <v>50000</v>
      </c>
    </row>
    <row r="96" spans="1:68" s="78" customFormat="1" ht="22.5" customHeight="1" thickBot="1">
      <c r="A96" s="129">
        <v>2</v>
      </c>
      <c r="B96" s="127">
        <v>2</v>
      </c>
      <c r="C96" s="127">
        <v>7</v>
      </c>
      <c r="D96" s="127">
        <v>1</v>
      </c>
      <c r="E96" s="168" t="s">
        <v>157</v>
      </c>
      <c r="F96" s="169" t="s">
        <v>208</v>
      </c>
      <c r="G96" s="114">
        <f>150000-2900</f>
        <v>147100</v>
      </c>
      <c r="H96" s="114"/>
      <c r="I96" s="111"/>
      <c r="J96" s="112" t="e">
        <f t="shared" si="78"/>
        <v>#DIV/0!</v>
      </c>
      <c r="K96" s="113"/>
      <c r="L96" s="114"/>
      <c r="M96" s="115" t="e">
        <f t="shared" si="79"/>
        <v>#DIV/0!</v>
      </c>
      <c r="N96" s="114"/>
      <c r="O96" s="114"/>
      <c r="P96" s="115" t="e">
        <f t="shared" si="92"/>
        <v>#DIV/0!</v>
      </c>
      <c r="Q96" s="214">
        <f>N96+K96+H96</f>
        <v>0</v>
      </c>
      <c r="R96" s="214"/>
      <c r="S96" s="214"/>
      <c r="T96" s="214"/>
      <c r="U96" s="214"/>
      <c r="V96" s="214"/>
      <c r="W96" s="214"/>
      <c r="X96" s="420"/>
      <c r="Y96" s="235"/>
      <c r="Z96" s="425"/>
      <c r="AA96" s="425">
        <v>0</v>
      </c>
      <c r="AB96" s="232">
        <f>+I96+L96+O96+S96+T96+U96+V96+W96+X96+Y96+Z96+AA96</f>
        <v>0</v>
      </c>
      <c r="AC96" s="442" t="e">
        <f aca="true" t="shared" si="96" ref="AC96:AC165">AB96/Q96</f>
        <v>#DIV/0!</v>
      </c>
      <c r="AD96" s="114"/>
      <c r="AE96" s="111"/>
      <c r="AF96" s="115" t="e">
        <f t="shared" si="82"/>
        <v>#DIV/0!</v>
      </c>
      <c r="AG96" s="114"/>
      <c r="AH96" s="111"/>
      <c r="AI96" s="115" t="e">
        <f t="shared" si="83"/>
        <v>#DIV/0!</v>
      </c>
      <c r="AJ96" s="114"/>
      <c r="AK96" s="111"/>
      <c r="AL96" s="115" t="e">
        <f t="shared" si="84"/>
        <v>#DIV/0!</v>
      </c>
      <c r="AM96" s="214">
        <f t="shared" si="93"/>
        <v>0</v>
      </c>
      <c r="AN96" s="214">
        <f t="shared" si="93"/>
        <v>0</v>
      </c>
      <c r="AO96" s="201" t="e">
        <f t="shared" si="56"/>
        <v>#DIV/0!</v>
      </c>
      <c r="AP96" s="114"/>
      <c r="AQ96" s="111"/>
      <c r="AR96" s="117" t="e">
        <f t="shared" si="85"/>
        <v>#DIV/0!</v>
      </c>
      <c r="AS96" s="114"/>
      <c r="AT96" s="111"/>
      <c r="AU96" s="118" t="e">
        <f t="shared" si="86"/>
        <v>#DIV/0!</v>
      </c>
      <c r="AV96" s="116"/>
      <c r="AW96" s="116"/>
      <c r="AX96" s="81" t="e">
        <f t="shared" si="87"/>
        <v>#DIV/0!</v>
      </c>
      <c r="AY96" s="114">
        <f t="shared" si="94"/>
        <v>0</v>
      </c>
      <c r="AZ96" s="114">
        <f t="shared" si="94"/>
        <v>0</v>
      </c>
      <c r="BA96" s="201" t="e">
        <f t="shared" si="73"/>
        <v>#DIV/0!</v>
      </c>
      <c r="BB96" s="114"/>
      <c r="BC96" s="114"/>
      <c r="BD96" s="81" t="e">
        <f t="shared" si="88"/>
        <v>#DIV/0!</v>
      </c>
      <c r="BE96" s="114"/>
      <c r="BF96" s="114"/>
      <c r="BG96" s="81" t="e">
        <f t="shared" si="89"/>
        <v>#DIV/0!</v>
      </c>
      <c r="BH96" s="114"/>
      <c r="BI96" s="111"/>
      <c r="BJ96" s="118" t="e">
        <f t="shared" si="90"/>
        <v>#DIV/0!</v>
      </c>
      <c r="BK96" s="214">
        <f t="shared" si="95"/>
        <v>0</v>
      </c>
      <c r="BL96" s="214">
        <f t="shared" si="95"/>
        <v>0</v>
      </c>
      <c r="BM96" s="201" t="e">
        <f t="shared" si="74"/>
        <v>#DIV/0!</v>
      </c>
      <c r="BN96" s="111">
        <f>I96+L96+O96+AE96+AH96+AK96+AQ96+AT96+AW96+BC96+BF96+BI96</f>
        <v>0</v>
      </c>
      <c r="BO96" s="115">
        <f t="shared" si="91"/>
        <v>0</v>
      </c>
      <c r="BP96" s="197">
        <f t="shared" si="71"/>
        <v>147100</v>
      </c>
    </row>
    <row r="97" spans="1:68" ht="22.5" thickBot="1">
      <c r="A97" s="102">
        <v>2</v>
      </c>
      <c r="B97" s="103">
        <v>2</v>
      </c>
      <c r="C97" s="103">
        <v>7</v>
      </c>
      <c r="D97" s="103">
        <v>2</v>
      </c>
      <c r="E97" s="202"/>
      <c r="F97" s="155" t="s">
        <v>89</v>
      </c>
      <c r="G97" s="82">
        <f>G98+G99+G100+G101</f>
        <v>-42900</v>
      </c>
      <c r="H97" s="82">
        <f>H98+H99+H100+H101</f>
        <v>0</v>
      </c>
      <c r="I97" s="131">
        <v>0</v>
      </c>
      <c r="J97" s="138" t="e">
        <f t="shared" si="78"/>
        <v>#DIV/0!</v>
      </c>
      <c r="K97" s="203">
        <f>K98+K99+K100+K101</f>
        <v>0</v>
      </c>
      <c r="L97" s="82">
        <f>L98+L99+L100+L101</f>
        <v>18930.34</v>
      </c>
      <c r="M97" s="89" t="e">
        <f t="shared" si="79"/>
        <v>#DIV/0!</v>
      </c>
      <c r="N97" s="82">
        <f>N98+N99+N100+N101</f>
        <v>0</v>
      </c>
      <c r="O97" s="82">
        <f>O98+O99+O100+O101</f>
        <v>13865</v>
      </c>
      <c r="P97" s="82" t="e">
        <f aca="true" t="shared" si="97" ref="P97:AA97">P98+P99+P100+P101</f>
        <v>#DIV/0!</v>
      </c>
      <c r="Q97" s="82">
        <f t="shared" si="97"/>
        <v>0</v>
      </c>
      <c r="R97" s="82">
        <f t="shared" si="97"/>
        <v>0</v>
      </c>
      <c r="S97" s="82">
        <f t="shared" si="97"/>
        <v>9191</v>
      </c>
      <c r="T97" s="82">
        <f t="shared" si="97"/>
        <v>6419.03</v>
      </c>
      <c r="U97" s="82">
        <f t="shared" si="97"/>
        <v>15142.27</v>
      </c>
      <c r="V97" s="82">
        <f t="shared" si="97"/>
        <v>12342.81</v>
      </c>
      <c r="W97" s="82">
        <f t="shared" si="97"/>
        <v>10230</v>
      </c>
      <c r="X97" s="131">
        <f t="shared" si="97"/>
        <v>36244.58</v>
      </c>
      <c r="Y97" s="232">
        <f t="shared" si="97"/>
        <v>0</v>
      </c>
      <c r="Z97" s="232">
        <f t="shared" si="97"/>
        <v>0</v>
      </c>
      <c r="AA97" s="426">
        <f t="shared" si="97"/>
        <v>0</v>
      </c>
      <c r="AB97" s="232">
        <f>AB98+AB99+AB100+AB101</f>
        <v>122365.03</v>
      </c>
      <c r="AC97" s="443" t="e">
        <f t="shared" si="96"/>
        <v>#DIV/0!</v>
      </c>
      <c r="AD97" s="82">
        <f>AD98+AD99+AD100+AD101</f>
        <v>0</v>
      </c>
      <c r="AE97" s="131">
        <f>AE98+AE99+AE100+AE101</f>
        <v>0</v>
      </c>
      <c r="AF97" s="89" t="e">
        <f t="shared" si="82"/>
        <v>#DIV/0!</v>
      </c>
      <c r="AG97" s="82">
        <f>AG98+AG99+AG100+AG101</f>
        <v>0</v>
      </c>
      <c r="AH97" s="131">
        <f>AH98+AH99+AH100+AH101</f>
        <v>0</v>
      </c>
      <c r="AI97" s="89" t="e">
        <f t="shared" si="83"/>
        <v>#DIV/0!</v>
      </c>
      <c r="AJ97" s="82">
        <f>AJ98+AJ99+AJ100+AJ101</f>
        <v>0</v>
      </c>
      <c r="AK97" s="131">
        <f>AK98+AK99+AK100+AK101</f>
        <v>0</v>
      </c>
      <c r="AL97" s="89" t="e">
        <f t="shared" si="84"/>
        <v>#DIV/0!</v>
      </c>
      <c r="AM97" s="82">
        <f>AM98+AM99+AM100+AM101</f>
        <v>0</v>
      </c>
      <c r="AN97" s="82">
        <f>AN98+AN99+AN100+AN101</f>
        <v>0</v>
      </c>
      <c r="AO97" s="204" t="e">
        <f t="shared" si="56"/>
        <v>#DIV/0!</v>
      </c>
      <c r="AP97" s="82">
        <f>AP98+AP99+AP100+AP101</f>
        <v>0</v>
      </c>
      <c r="AQ97" s="131">
        <f>AQ98+AQ99+AQ100+AQ101</f>
        <v>0</v>
      </c>
      <c r="AR97" s="98" t="e">
        <f t="shared" si="85"/>
        <v>#DIV/0!</v>
      </c>
      <c r="AS97" s="82">
        <f>AS98+AS99+AS100+AS101</f>
        <v>0</v>
      </c>
      <c r="AT97" s="131">
        <f>AT98+AT99+AT100+AT101</f>
        <v>0</v>
      </c>
      <c r="AU97" s="99" t="e">
        <f t="shared" si="86"/>
        <v>#DIV/0!</v>
      </c>
      <c r="AV97" s="82">
        <f>AV98+AV99+AV100+AV101</f>
        <v>0</v>
      </c>
      <c r="AW97" s="82">
        <f>AW98+AW99+AW100+AW101</f>
        <v>0</v>
      </c>
      <c r="AX97" s="100" t="e">
        <f t="shared" si="87"/>
        <v>#DIV/0!</v>
      </c>
      <c r="AY97" s="82">
        <f>AY98+AY99+AY100+AY101</f>
        <v>0</v>
      </c>
      <c r="AZ97" s="82">
        <f>AZ98+AZ99+AZ100+AZ101</f>
        <v>0</v>
      </c>
      <c r="BA97" s="204" t="e">
        <f t="shared" si="73"/>
        <v>#DIV/0!</v>
      </c>
      <c r="BB97" s="82"/>
      <c r="BC97" s="82"/>
      <c r="BD97" s="100" t="e">
        <f t="shared" si="88"/>
        <v>#DIV/0!</v>
      </c>
      <c r="BE97" s="82"/>
      <c r="BF97" s="82"/>
      <c r="BG97" s="100" t="e">
        <f t="shared" si="89"/>
        <v>#DIV/0!</v>
      </c>
      <c r="BH97" s="82">
        <f>BH98+BH99+BH100+BH101</f>
        <v>0</v>
      </c>
      <c r="BI97" s="131">
        <f>BI98+BI99+BI100+BI101</f>
        <v>0</v>
      </c>
      <c r="BJ97" s="99" t="e">
        <f t="shared" si="90"/>
        <v>#DIV/0!</v>
      </c>
      <c r="BK97" s="82">
        <f>BK98+BK99+BK100+BK101</f>
        <v>0</v>
      </c>
      <c r="BL97" s="82">
        <f>BL98+BL99+BL100+BL101</f>
        <v>0</v>
      </c>
      <c r="BM97" s="204" t="e">
        <f t="shared" si="74"/>
        <v>#DIV/0!</v>
      </c>
      <c r="BN97" s="131">
        <f>+U97</f>
        <v>15142.27</v>
      </c>
      <c r="BO97" s="134">
        <f t="shared" si="91"/>
        <v>-0.35296666666666665</v>
      </c>
      <c r="BP97" s="197">
        <f t="shared" si="71"/>
        <v>-165265.03</v>
      </c>
    </row>
    <row r="98" spans="1:68" s="78" customFormat="1" ht="23.25" thickBot="1">
      <c r="A98" s="83">
        <v>2</v>
      </c>
      <c r="B98" s="84">
        <v>2</v>
      </c>
      <c r="C98" s="84">
        <v>7</v>
      </c>
      <c r="D98" s="84">
        <v>2</v>
      </c>
      <c r="E98" s="85" t="s">
        <v>149</v>
      </c>
      <c r="F98" s="90" t="s">
        <v>37</v>
      </c>
      <c r="G98" s="88">
        <f>75000-350000</f>
        <v>-275000</v>
      </c>
      <c r="H98" s="88"/>
      <c r="I98" s="97"/>
      <c r="J98" s="138" t="e">
        <f t="shared" si="78"/>
        <v>#DIV/0!</v>
      </c>
      <c r="K98" s="148"/>
      <c r="L98" s="88">
        <v>0</v>
      </c>
      <c r="M98" s="89" t="e">
        <f t="shared" si="79"/>
        <v>#DIV/0!</v>
      </c>
      <c r="N98" s="88"/>
      <c r="O98" s="88">
        <v>0</v>
      </c>
      <c r="P98" s="89" t="e">
        <f t="shared" si="92"/>
        <v>#DIV/0!</v>
      </c>
      <c r="Q98" s="200">
        <f>N98+K98+H98</f>
        <v>0</v>
      </c>
      <c r="R98" s="200"/>
      <c r="S98" s="200">
        <v>0</v>
      </c>
      <c r="T98" s="200">
        <v>0</v>
      </c>
      <c r="U98" s="200">
        <v>0</v>
      </c>
      <c r="V98" s="200">
        <v>0</v>
      </c>
      <c r="W98" s="200">
        <v>0</v>
      </c>
      <c r="X98" s="421">
        <v>12036</v>
      </c>
      <c r="Y98" s="235">
        <v>0</v>
      </c>
      <c r="Z98" s="425">
        <v>0</v>
      </c>
      <c r="AA98" s="425"/>
      <c r="AB98" s="238">
        <f>I98+L98+O98+S98+T98+U98+V98+W98+X98+Y98+Z98+AA98</f>
        <v>12036</v>
      </c>
      <c r="AC98" s="443" t="e">
        <f t="shared" si="96"/>
        <v>#DIV/0!</v>
      </c>
      <c r="AD98" s="88"/>
      <c r="AE98" s="97"/>
      <c r="AF98" s="89" t="e">
        <f t="shared" si="82"/>
        <v>#DIV/0!</v>
      </c>
      <c r="AG98" s="88"/>
      <c r="AH98" s="97"/>
      <c r="AI98" s="89" t="e">
        <f t="shared" si="83"/>
        <v>#DIV/0!</v>
      </c>
      <c r="AJ98" s="88"/>
      <c r="AK98" s="97"/>
      <c r="AL98" s="89" t="e">
        <f t="shared" si="84"/>
        <v>#DIV/0!</v>
      </c>
      <c r="AM98" s="200">
        <f aca="true" t="shared" si="98" ref="AM98:AN101">AJ98+AG98+AD98</f>
        <v>0</v>
      </c>
      <c r="AN98" s="200">
        <f t="shared" si="98"/>
        <v>0</v>
      </c>
      <c r="AO98" s="204" t="e">
        <f t="shared" si="56"/>
        <v>#DIV/0!</v>
      </c>
      <c r="AP98" s="88"/>
      <c r="AQ98" s="97"/>
      <c r="AR98" s="98" t="e">
        <f t="shared" si="85"/>
        <v>#DIV/0!</v>
      </c>
      <c r="AS98" s="88"/>
      <c r="AT98" s="97"/>
      <c r="AU98" s="99" t="e">
        <f t="shared" si="86"/>
        <v>#DIV/0!</v>
      </c>
      <c r="AV98" s="86"/>
      <c r="AW98" s="86"/>
      <c r="AX98" s="100" t="e">
        <f t="shared" si="87"/>
        <v>#DIV/0!</v>
      </c>
      <c r="AY98" s="88">
        <f aca="true" t="shared" si="99" ref="AY98:AZ101">AV98+AS98+AP98</f>
        <v>0</v>
      </c>
      <c r="AZ98" s="88">
        <f t="shared" si="99"/>
        <v>0</v>
      </c>
      <c r="BA98" s="204" t="e">
        <f t="shared" si="73"/>
        <v>#DIV/0!</v>
      </c>
      <c r="BB98" s="88"/>
      <c r="BC98" s="88"/>
      <c r="BD98" s="100" t="e">
        <f t="shared" si="88"/>
        <v>#DIV/0!</v>
      </c>
      <c r="BE98" s="88"/>
      <c r="BF98" s="88"/>
      <c r="BG98" s="100" t="e">
        <f t="shared" si="89"/>
        <v>#DIV/0!</v>
      </c>
      <c r="BH98" s="88"/>
      <c r="BI98" s="97"/>
      <c r="BJ98" s="99" t="e">
        <f t="shared" si="90"/>
        <v>#DIV/0!</v>
      </c>
      <c r="BK98" s="200">
        <f aca="true" t="shared" si="100" ref="BK98:BL101">BH98+BE98+BB98</f>
        <v>0</v>
      </c>
      <c r="BL98" s="200">
        <f t="shared" si="100"/>
        <v>0</v>
      </c>
      <c r="BM98" s="204" t="e">
        <f t="shared" si="74"/>
        <v>#DIV/0!</v>
      </c>
      <c r="BN98" s="97">
        <f>I98+L98+O98+AE98+AH98+AK98+AQ98+AT98+AW98+BC98+BF98+BI98</f>
        <v>0</v>
      </c>
      <c r="BO98" s="134">
        <f t="shared" si="91"/>
        <v>0</v>
      </c>
      <c r="BP98" s="197">
        <f t="shared" si="71"/>
        <v>-287036</v>
      </c>
    </row>
    <row r="99" spans="1:68" s="78" customFormat="1" ht="23.25" thickBot="1">
      <c r="A99" s="83">
        <v>2</v>
      </c>
      <c r="B99" s="84">
        <v>2</v>
      </c>
      <c r="C99" s="84">
        <v>7</v>
      </c>
      <c r="D99" s="84">
        <v>2</v>
      </c>
      <c r="E99" s="85" t="s">
        <v>150</v>
      </c>
      <c r="F99" s="90" t="s">
        <v>38</v>
      </c>
      <c r="G99" s="88">
        <v>75000</v>
      </c>
      <c r="H99" s="88"/>
      <c r="I99" s="97"/>
      <c r="J99" s="138" t="e">
        <f t="shared" si="78"/>
        <v>#DIV/0!</v>
      </c>
      <c r="K99" s="148"/>
      <c r="L99" s="88">
        <v>0</v>
      </c>
      <c r="M99" s="89" t="e">
        <f t="shared" si="79"/>
        <v>#DIV/0!</v>
      </c>
      <c r="N99" s="88"/>
      <c r="O99" s="88"/>
      <c r="P99" s="89" t="e">
        <f t="shared" si="92"/>
        <v>#DIV/0!</v>
      </c>
      <c r="Q99" s="200">
        <f>N99+K99+H99</f>
        <v>0</v>
      </c>
      <c r="R99" s="200"/>
      <c r="S99" s="200"/>
      <c r="T99" s="200">
        <v>0</v>
      </c>
      <c r="U99" s="200"/>
      <c r="V99" s="200"/>
      <c r="W99" s="200">
        <v>5150</v>
      </c>
      <c r="X99" s="421">
        <v>0</v>
      </c>
      <c r="Y99" s="235"/>
      <c r="Z99" s="425">
        <v>0</v>
      </c>
      <c r="AA99" s="425"/>
      <c r="AB99" s="238">
        <f>I99+L99+O99+S99+T99+U99+V99+W99+X99+Y99+Z99+AA99</f>
        <v>5150</v>
      </c>
      <c r="AC99" s="443" t="e">
        <f t="shared" si="96"/>
        <v>#DIV/0!</v>
      </c>
      <c r="AD99" s="88"/>
      <c r="AE99" s="97"/>
      <c r="AF99" s="89" t="e">
        <f t="shared" si="82"/>
        <v>#DIV/0!</v>
      </c>
      <c r="AG99" s="88"/>
      <c r="AH99" s="97"/>
      <c r="AI99" s="89" t="e">
        <f t="shared" si="83"/>
        <v>#DIV/0!</v>
      </c>
      <c r="AJ99" s="88"/>
      <c r="AK99" s="97"/>
      <c r="AL99" s="89" t="e">
        <f t="shared" si="84"/>
        <v>#DIV/0!</v>
      </c>
      <c r="AM99" s="200">
        <f t="shared" si="98"/>
        <v>0</v>
      </c>
      <c r="AN99" s="200">
        <f t="shared" si="98"/>
        <v>0</v>
      </c>
      <c r="AO99" s="204" t="e">
        <f t="shared" si="56"/>
        <v>#DIV/0!</v>
      </c>
      <c r="AP99" s="88"/>
      <c r="AQ99" s="97"/>
      <c r="AR99" s="98" t="e">
        <f t="shared" si="85"/>
        <v>#DIV/0!</v>
      </c>
      <c r="AS99" s="88"/>
      <c r="AT99" s="97"/>
      <c r="AU99" s="99" t="e">
        <f t="shared" si="86"/>
        <v>#DIV/0!</v>
      </c>
      <c r="AV99" s="86"/>
      <c r="AW99" s="86"/>
      <c r="AX99" s="100" t="e">
        <f t="shared" si="87"/>
        <v>#DIV/0!</v>
      </c>
      <c r="AY99" s="88">
        <f t="shared" si="99"/>
        <v>0</v>
      </c>
      <c r="AZ99" s="88">
        <f t="shared" si="99"/>
        <v>0</v>
      </c>
      <c r="BA99" s="204" t="e">
        <f t="shared" si="73"/>
        <v>#DIV/0!</v>
      </c>
      <c r="BB99" s="88"/>
      <c r="BC99" s="88"/>
      <c r="BD99" s="100" t="e">
        <f t="shared" si="88"/>
        <v>#DIV/0!</v>
      </c>
      <c r="BE99" s="88"/>
      <c r="BF99" s="88"/>
      <c r="BG99" s="100" t="e">
        <f t="shared" si="89"/>
        <v>#DIV/0!</v>
      </c>
      <c r="BH99" s="88"/>
      <c r="BI99" s="97"/>
      <c r="BJ99" s="99" t="e">
        <f t="shared" si="90"/>
        <v>#DIV/0!</v>
      </c>
      <c r="BK99" s="200">
        <f t="shared" si="100"/>
        <v>0</v>
      </c>
      <c r="BL99" s="200">
        <f t="shared" si="100"/>
        <v>0</v>
      </c>
      <c r="BM99" s="204" t="e">
        <f t="shared" si="74"/>
        <v>#DIV/0!</v>
      </c>
      <c r="BN99" s="97">
        <f>I99+L99+O99+AE99+AH99+AK99+AQ99+AT99+AW99+BC99+BF99+BI99</f>
        <v>0</v>
      </c>
      <c r="BO99" s="134">
        <f t="shared" si="91"/>
        <v>0</v>
      </c>
      <c r="BP99" s="197">
        <f t="shared" si="71"/>
        <v>69850</v>
      </c>
    </row>
    <row r="100" spans="1:68" s="78" customFormat="1" ht="23.25" thickBot="1">
      <c r="A100" s="83">
        <v>2</v>
      </c>
      <c r="B100" s="84">
        <v>2</v>
      </c>
      <c r="C100" s="84">
        <v>7</v>
      </c>
      <c r="D100" s="84">
        <v>2</v>
      </c>
      <c r="E100" s="85" t="s">
        <v>153</v>
      </c>
      <c r="F100" s="90" t="s">
        <v>91</v>
      </c>
      <c r="G100" s="88">
        <f>10000-2900</f>
        <v>7100</v>
      </c>
      <c r="H100" s="88"/>
      <c r="I100" s="97"/>
      <c r="J100" s="138" t="e">
        <f t="shared" si="78"/>
        <v>#DIV/0!</v>
      </c>
      <c r="K100" s="148"/>
      <c r="L100" s="88"/>
      <c r="M100" s="89" t="e">
        <f t="shared" si="79"/>
        <v>#DIV/0!</v>
      </c>
      <c r="N100" s="88"/>
      <c r="O100" s="88">
        <f>5310+5664</f>
        <v>10974</v>
      </c>
      <c r="P100" s="89" t="e">
        <f t="shared" si="92"/>
        <v>#DIV/0!</v>
      </c>
      <c r="Q100" s="200">
        <f>N100+K100+H100</f>
        <v>0</v>
      </c>
      <c r="R100" s="200"/>
      <c r="S100" s="200"/>
      <c r="T100" s="200"/>
      <c r="U100" s="200">
        <v>2360</v>
      </c>
      <c r="V100" s="200"/>
      <c r="W100" s="200"/>
      <c r="X100" s="421"/>
      <c r="Y100" s="235"/>
      <c r="Z100" s="425"/>
      <c r="AA100" s="425"/>
      <c r="AB100" s="238">
        <f>I100+L100+O100+S100+T100+U100+V100+W100+X100+Y100+Z100+AA100</f>
        <v>13334</v>
      </c>
      <c r="AC100" s="443" t="e">
        <f t="shared" si="96"/>
        <v>#DIV/0!</v>
      </c>
      <c r="AD100" s="88"/>
      <c r="AE100" s="97"/>
      <c r="AF100" s="89" t="e">
        <f t="shared" si="82"/>
        <v>#DIV/0!</v>
      </c>
      <c r="AG100" s="88"/>
      <c r="AH100" s="97"/>
      <c r="AI100" s="89" t="e">
        <f t="shared" si="83"/>
        <v>#DIV/0!</v>
      </c>
      <c r="AJ100" s="88"/>
      <c r="AK100" s="97"/>
      <c r="AL100" s="89" t="e">
        <f t="shared" si="84"/>
        <v>#DIV/0!</v>
      </c>
      <c r="AM100" s="200">
        <f t="shared" si="98"/>
        <v>0</v>
      </c>
      <c r="AN100" s="200">
        <f t="shared" si="98"/>
        <v>0</v>
      </c>
      <c r="AO100" s="204" t="e">
        <f t="shared" si="56"/>
        <v>#DIV/0!</v>
      </c>
      <c r="AP100" s="88"/>
      <c r="AQ100" s="97"/>
      <c r="AR100" s="98" t="e">
        <f t="shared" si="85"/>
        <v>#DIV/0!</v>
      </c>
      <c r="AS100" s="88"/>
      <c r="AT100" s="97"/>
      <c r="AU100" s="99" t="e">
        <f t="shared" si="86"/>
        <v>#DIV/0!</v>
      </c>
      <c r="AV100" s="86"/>
      <c r="AW100" s="86"/>
      <c r="AX100" s="100" t="e">
        <f t="shared" si="87"/>
        <v>#DIV/0!</v>
      </c>
      <c r="AY100" s="88">
        <f t="shared" si="99"/>
        <v>0</v>
      </c>
      <c r="AZ100" s="88">
        <f t="shared" si="99"/>
        <v>0</v>
      </c>
      <c r="BA100" s="204" t="e">
        <f t="shared" si="73"/>
        <v>#DIV/0!</v>
      </c>
      <c r="BB100" s="88"/>
      <c r="BC100" s="88"/>
      <c r="BD100" s="100" t="e">
        <f t="shared" si="88"/>
        <v>#DIV/0!</v>
      </c>
      <c r="BE100" s="88"/>
      <c r="BF100" s="88"/>
      <c r="BG100" s="100" t="e">
        <f t="shared" si="89"/>
        <v>#DIV/0!</v>
      </c>
      <c r="BH100" s="88"/>
      <c r="BI100" s="97"/>
      <c r="BJ100" s="99" t="e">
        <f t="shared" si="90"/>
        <v>#DIV/0!</v>
      </c>
      <c r="BK100" s="200">
        <f t="shared" si="100"/>
        <v>0</v>
      </c>
      <c r="BL100" s="200">
        <f t="shared" si="100"/>
        <v>0</v>
      </c>
      <c r="BM100" s="204" t="e">
        <f t="shared" si="74"/>
        <v>#DIV/0!</v>
      </c>
      <c r="BN100" s="97">
        <f>I100+L100+O100+AE100+AH100+AK100+AQ100+AT100+AW100+BC100+BF100+BI100</f>
        <v>10974</v>
      </c>
      <c r="BO100" s="134">
        <f t="shared" si="91"/>
        <v>1.5456338028169014</v>
      </c>
      <c r="BP100" s="197">
        <f t="shared" si="71"/>
        <v>-6234</v>
      </c>
    </row>
    <row r="101" spans="1:68" s="78" customFormat="1" ht="27.75" customHeight="1" thickBot="1">
      <c r="A101" s="83">
        <v>2</v>
      </c>
      <c r="B101" s="84">
        <v>2</v>
      </c>
      <c r="C101" s="84">
        <v>7</v>
      </c>
      <c r="D101" s="84">
        <v>2</v>
      </c>
      <c r="E101" s="85" t="s">
        <v>156</v>
      </c>
      <c r="F101" s="90" t="s">
        <v>92</v>
      </c>
      <c r="G101" s="88">
        <v>150000</v>
      </c>
      <c r="H101" s="88"/>
      <c r="I101" s="97">
        <v>0</v>
      </c>
      <c r="J101" s="138" t="e">
        <f t="shared" si="78"/>
        <v>#DIV/0!</v>
      </c>
      <c r="K101" s="148"/>
      <c r="L101" s="88">
        <f>15576+3354.34</f>
        <v>18930.34</v>
      </c>
      <c r="M101" s="89" t="e">
        <f t="shared" si="79"/>
        <v>#DIV/0!</v>
      </c>
      <c r="N101" s="88"/>
      <c r="O101" s="88">
        <v>2891</v>
      </c>
      <c r="P101" s="89" t="e">
        <f t="shared" si="92"/>
        <v>#DIV/0!</v>
      </c>
      <c r="Q101" s="200">
        <f>N101+K101+H101</f>
        <v>0</v>
      </c>
      <c r="R101" s="200"/>
      <c r="S101" s="200">
        <v>9191</v>
      </c>
      <c r="T101" s="200">
        <f>2956.2+3462.83</f>
        <v>6419.03</v>
      </c>
      <c r="U101" s="200">
        <f>7177.68+5604.59</f>
        <v>12782.27</v>
      </c>
      <c r="V101" s="200">
        <f>2194.81+10148</f>
        <v>12342.81</v>
      </c>
      <c r="W101" s="200">
        <v>5080</v>
      </c>
      <c r="X101" s="421">
        <f>4555.78+14604.8+2924+2124</f>
        <v>24208.579999999998</v>
      </c>
      <c r="Y101" s="235">
        <v>0</v>
      </c>
      <c r="Z101" s="425">
        <v>0</v>
      </c>
      <c r="AA101" s="425">
        <v>0</v>
      </c>
      <c r="AB101" s="238">
        <f>+I101+L101+O101+S101+T101+U101+V101+W101+X101+Y101+Z101+AA101</f>
        <v>91845.03</v>
      </c>
      <c r="AC101" s="443" t="e">
        <f t="shared" si="96"/>
        <v>#DIV/0!</v>
      </c>
      <c r="AD101" s="88"/>
      <c r="AE101" s="97"/>
      <c r="AF101" s="89" t="e">
        <f t="shared" si="82"/>
        <v>#DIV/0!</v>
      </c>
      <c r="AG101" s="88"/>
      <c r="AH101" s="97"/>
      <c r="AI101" s="89" t="e">
        <f t="shared" si="83"/>
        <v>#DIV/0!</v>
      </c>
      <c r="AJ101" s="88"/>
      <c r="AK101" s="97"/>
      <c r="AL101" s="89" t="e">
        <f t="shared" si="84"/>
        <v>#DIV/0!</v>
      </c>
      <c r="AM101" s="200">
        <f t="shared" si="98"/>
        <v>0</v>
      </c>
      <c r="AN101" s="200">
        <f t="shared" si="98"/>
        <v>0</v>
      </c>
      <c r="AO101" s="204" t="e">
        <f t="shared" si="56"/>
        <v>#DIV/0!</v>
      </c>
      <c r="AP101" s="88"/>
      <c r="AQ101" s="97"/>
      <c r="AR101" s="98" t="e">
        <f t="shared" si="85"/>
        <v>#DIV/0!</v>
      </c>
      <c r="AS101" s="88"/>
      <c r="AT101" s="97"/>
      <c r="AU101" s="99" t="e">
        <f t="shared" si="86"/>
        <v>#DIV/0!</v>
      </c>
      <c r="AV101" s="86"/>
      <c r="AW101" s="86"/>
      <c r="AX101" s="100" t="e">
        <f t="shared" si="87"/>
        <v>#DIV/0!</v>
      </c>
      <c r="AY101" s="88">
        <f t="shared" si="99"/>
        <v>0</v>
      </c>
      <c r="AZ101" s="88">
        <f t="shared" si="99"/>
        <v>0</v>
      </c>
      <c r="BA101" s="204" t="e">
        <f t="shared" si="73"/>
        <v>#DIV/0!</v>
      </c>
      <c r="BB101" s="88"/>
      <c r="BC101" s="88"/>
      <c r="BD101" s="100" t="e">
        <f t="shared" si="88"/>
        <v>#DIV/0!</v>
      </c>
      <c r="BE101" s="88"/>
      <c r="BF101" s="88"/>
      <c r="BG101" s="100" t="e">
        <f t="shared" si="89"/>
        <v>#DIV/0!</v>
      </c>
      <c r="BH101" s="88"/>
      <c r="BI101" s="97"/>
      <c r="BJ101" s="99" t="e">
        <f t="shared" si="90"/>
        <v>#DIV/0!</v>
      </c>
      <c r="BK101" s="200">
        <f t="shared" si="100"/>
        <v>0</v>
      </c>
      <c r="BL101" s="200">
        <f t="shared" si="100"/>
        <v>0</v>
      </c>
      <c r="BM101" s="204" t="e">
        <f t="shared" si="74"/>
        <v>#DIV/0!</v>
      </c>
      <c r="BN101" s="97">
        <f>I101+L101+O101+AE101+AH101+AK101+AQ101+AT101+AW101+BC101+BF101+BI101</f>
        <v>21821.34</v>
      </c>
      <c r="BO101" s="134">
        <f t="shared" si="91"/>
        <v>0.1454756</v>
      </c>
      <c r="BP101" s="197">
        <f t="shared" si="71"/>
        <v>58154.97</v>
      </c>
    </row>
    <row r="102" spans="1:68" s="77" customFormat="1" ht="13.5" thickBot="1">
      <c r="A102" s="102">
        <v>2</v>
      </c>
      <c r="B102" s="103">
        <v>2</v>
      </c>
      <c r="C102" s="103">
        <v>8</v>
      </c>
      <c r="D102" s="103"/>
      <c r="E102" s="206"/>
      <c r="F102" s="155" t="s">
        <v>207</v>
      </c>
      <c r="G102" s="82">
        <f>G103+G104+G105+G109+G112+G118</f>
        <v>4029912</v>
      </c>
      <c r="H102" s="82">
        <f>H103+H104+H105+H109+H112+H118</f>
        <v>0</v>
      </c>
      <c r="I102" s="131">
        <f>I103+I104+I105+I109+I112+I118</f>
        <v>27000</v>
      </c>
      <c r="J102" s="138" t="e">
        <f t="shared" si="78"/>
        <v>#DIV/0!</v>
      </c>
      <c r="K102" s="203">
        <f>K103+K104+K105+K109+K112+K118</f>
        <v>0</v>
      </c>
      <c r="L102" s="82">
        <f>L103+L104+L105+L109+L112+L118</f>
        <v>142000</v>
      </c>
      <c r="M102" s="89" t="e">
        <f t="shared" si="79"/>
        <v>#DIV/0!</v>
      </c>
      <c r="N102" s="82">
        <f aca="true" t="shared" si="101" ref="N102:Z102">N103+N104+N105+N109+N112+N118</f>
        <v>0</v>
      </c>
      <c r="O102" s="82">
        <f t="shared" si="101"/>
        <v>589500</v>
      </c>
      <c r="P102" s="82" t="e">
        <f t="shared" si="101"/>
        <v>#DIV/0!</v>
      </c>
      <c r="Q102" s="82">
        <f t="shared" si="101"/>
        <v>0</v>
      </c>
      <c r="R102" s="82">
        <f t="shared" si="101"/>
        <v>0</v>
      </c>
      <c r="S102" s="82">
        <f t="shared" si="101"/>
        <v>509500</v>
      </c>
      <c r="T102" s="82">
        <f t="shared" si="101"/>
        <v>217500</v>
      </c>
      <c r="U102" s="82">
        <f t="shared" si="101"/>
        <v>341500</v>
      </c>
      <c r="V102" s="82">
        <f t="shared" si="101"/>
        <v>189500</v>
      </c>
      <c r="W102" s="82">
        <f>W103+W104+W105+W109+W112+W118</f>
        <v>632619.51</v>
      </c>
      <c r="X102" s="82">
        <f>X103+X104+X105+X109+X112+X118</f>
        <v>319500</v>
      </c>
      <c r="Y102" s="232">
        <f t="shared" si="101"/>
        <v>0</v>
      </c>
      <c r="Z102" s="426">
        <f t="shared" si="101"/>
        <v>0</v>
      </c>
      <c r="AA102" s="426">
        <f>SUM(AA103:AA112)</f>
        <v>0</v>
      </c>
      <c r="AB102" s="232">
        <f>+AB104+AB105+AB112</f>
        <v>2968619.51</v>
      </c>
      <c r="AC102" s="443" t="e">
        <f t="shared" si="96"/>
        <v>#DIV/0!</v>
      </c>
      <c r="AD102" s="82">
        <f>AD103+AD104+AD105+AD109+AD112+AD118</f>
        <v>0</v>
      </c>
      <c r="AE102" s="131">
        <f>AE103+AE104+AE105+AE109+AE112+AE118</f>
        <v>0</v>
      </c>
      <c r="AF102" s="89" t="e">
        <f t="shared" si="82"/>
        <v>#DIV/0!</v>
      </c>
      <c r="AG102" s="82">
        <f>AG103+AG104+AG105+AG109+AG112+AG118</f>
        <v>0</v>
      </c>
      <c r="AH102" s="131">
        <f>AH103+AH104+AH105+AH109+AH112+AH118</f>
        <v>0</v>
      </c>
      <c r="AI102" s="89" t="e">
        <f t="shared" si="83"/>
        <v>#DIV/0!</v>
      </c>
      <c r="AJ102" s="82">
        <f>AJ103+AJ104+AJ105+AJ109+AJ112+AJ118</f>
        <v>0</v>
      </c>
      <c r="AK102" s="131">
        <f>AK103+AK104+AK105+AK109+AK112+AK118</f>
        <v>0</v>
      </c>
      <c r="AL102" s="89" t="e">
        <f t="shared" si="84"/>
        <v>#DIV/0!</v>
      </c>
      <c r="AM102" s="82">
        <f>AM103+AM104+AM105+AM109+AM112+AM118</f>
        <v>0</v>
      </c>
      <c r="AN102" s="82">
        <f>AN103+AN104+AN105+AN109+AN112+AN118</f>
        <v>0</v>
      </c>
      <c r="AO102" s="204" t="e">
        <f t="shared" si="56"/>
        <v>#DIV/0!</v>
      </c>
      <c r="AP102" s="82">
        <f>AP103+AP104+AP105+AP109+AP112+AP118</f>
        <v>0</v>
      </c>
      <c r="AQ102" s="131">
        <f>AQ103+AQ104+AQ105+AQ109+AQ112+AQ118</f>
        <v>0</v>
      </c>
      <c r="AR102" s="98" t="e">
        <f t="shared" si="85"/>
        <v>#DIV/0!</v>
      </c>
      <c r="AS102" s="82">
        <f>AS103+AS104+AS105+AS109+AS112+AS118</f>
        <v>0</v>
      </c>
      <c r="AT102" s="131">
        <f>AT103+AT104+AT105+AT109+AT112+AT118</f>
        <v>0</v>
      </c>
      <c r="AU102" s="99" t="e">
        <f t="shared" si="86"/>
        <v>#DIV/0!</v>
      </c>
      <c r="AV102" s="82">
        <f>AV103+AV104+AV105+AV109+AV112+AV118</f>
        <v>0</v>
      </c>
      <c r="AW102" s="82">
        <f>AW103+AW104+AW105+AW109+AW112+AW118</f>
        <v>0</v>
      </c>
      <c r="AX102" s="100" t="e">
        <f t="shared" si="87"/>
        <v>#DIV/0!</v>
      </c>
      <c r="AY102" s="82">
        <f>AY103+AY104+AY105+AY109+AY112+AY118</f>
        <v>0</v>
      </c>
      <c r="AZ102" s="82">
        <f>AZ103+AZ104+AZ105+AZ109+AZ112+AZ118</f>
        <v>0</v>
      </c>
      <c r="BA102" s="204" t="e">
        <f t="shared" si="73"/>
        <v>#DIV/0!</v>
      </c>
      <c r="BB102" s="82"/>
      <c r="BC102" s="82"/>
      <c r="BD102" s="100" t="e">
        <f t="shared" si="88"/>
        <v>#DIV/0!</v>
      </c>
      <c r="BE102" s="82"/>
      <c r="BF102" s="82"/>
      <c r="BG102" s="100" t="e">
        <f t="shared" si="89"/>
        <v>#DIV/0!</v>
      </c>
      <c r="BH102" s="82">
        <f>BH103+BH104+BH105+BH109+BH112+BH118</f>
        <v>0</v>
      </c>
      <c r="BI102" s="131">
        <f>BI103+BI104+BI105+BI109+BI112+BI118</f>
        <v>0</v>
      </c>
      <c r="BJ102" s="99" t="e">
        <f t="shared" si="90"/>
        <v>#DIV/0!</v>
      </c>
      <c r="BK102" s="82">
        <f>BK103+BK104+BK105+BK109+BK112+BK118</f>
        <v>0</v>
      </c>
      <c r="BL102" s="82">
        <f>BL103+BL104+BL105+BL109+BL112+BL118</f>
        <v>0</v>
      </c>
      <c r="BM102" s="204" t="e">
        <f t="shared" si="74"/>
        <v>#DIV/0!</v>
      </c>
      <c r="BN102" s="131">
        <f>BN103+BN104+BN105+BN109+BN112+BN118</f>
        <v>1827000</v>
      </c>
      <c r="BO102" s="134">
        <f t="shared" si="91"/>
        <v>0.45335977559807755</v>
      </c>
      <c r="BP102" s="197">
        <f t="shared" si="71"/>
        <v>1061292.4900000002</v>
      </c>
    </row>
    <row r="103" spans="1:68" ht="13.5" thickBot="1">
      <c r="A103" s="102">
        <v>2</v>
      </c>
      <c r="B103" s="103">
        <v>2</v>
      </c>
      <c r="C103" s="103">
        <v>8</v>
      </c>
      <c r="D103" s="103">
        <v>1</v>
      </c>
      <c r="E103" s="202"/>
      <c r="F103" s="155" t="s">
        <v>93</v>
      </c>
      <c r="G103" s="88">
        <f>10000-8000</f>
        <v>2000</v>
      </c>
      <c r="H103" s="82"/>
      <c r="I103" s="131"/>
      <c r="J103" s="138" t="e">
        <f t="shared" si="78"/>
        <v>#DIV/0!</v>
      </c>
      <c r="K103" s="203"/>
      <c r="L103" s="82"/>
      <c r="M103" s="89" t="e">
        <f t="shared" si="79"/>
        <v>#DIV/0!</v>
      </c>
      <c r="N103" s="82"/>
      <c r="O103" s="82"/>
      <c r="P103" s="89" t="e">
        <f t="shared" si="92"/>
        <v>#DIV/0!</v>
      </c>
      <c r="Q103" s="200">
        <f>N103+K103+H103</f>
        <v>0</v>
      </c>
      <c r="R103" s="200"/>
      <c r="S103" s="200"/>
      <c r="T103" s="200"/>
      <c r="U103" s="200"/>
      <c r="V103" s="200"/>
      <c r="W103" s="200"/>
      <c r="X103" s="421"/>
      <c r="Y103" s="235"/>
      <c r="Z103" s="425"/>
      <c r="AA103" s="425"/>
      <c r="AB103" s="232">
        <f>+I103+L103+O103+S103+T103+U103+V103+W103+X103+Y103+Z103+AA103</f>
        <v>0</v>
      </c>
      <c r="AC103" s="443" t="e">
        <f t="shared" si="96"/>
        <v>#DIV/0!</v>
      </c>
      <c r="AD103" s="82"/>
      <c r="AE103" s="131"/>
      <c r="AF103" s="89" t="e">
        <f t="shared" si="82"/>
        <v>#DIV/0!</v>
      </c>
      <c r="AG103" s="82"/>
      <c r="AH103" s="131"/>
      <c r="AI103" s="89" t="e">
        <f t="shared" si="83"/>
        <v>#DIV/0!</v>
      </c>
      <c r="AJ103" s="82"/>
      <c r="AK103" s="131"/>
      <c r="AL103" s="89" t="e">
        <f t="shared" si="84"/>
        <v>#DIV/0!</v>
      </c>
      <c r="AM103" s="200">
        <f>AJ103+AG103+AD103</f>
        <v>0</v>
      </c>
      <c r="AN103" s="200">
        <f>AK103+AH103+AE103</f>
        <v>0</v>
      </c>
      <c r="AO103" s="204" t="e">
        <f t="shared" si="56"/>
        <v>#DIV/0!</v>
      </c>
      <c r="AP103" s="82"/>
      <c r="AQ103" s="131"/>
      <c r="AR103" s="98" t="e">
        <f t="shared" si="85"/>
        <v>#DIV/0!</v>
      </c>
      <c r="AS103" s="82"/>
      <c r="AT103" s="131"/>
      <c r="AU103" s="99" t="e">
        <f t="shared" si="86"/>
        <v>#DIV/0!</v>
      </c>
      <c r="AV103" s="87"/>
      <c r="AW103" s="87"/>
      <c r="AX103" s="100" t="e">
        <f t="shared" si="87"/>
        <v>#DIV/0!</v>
      </c>
      <c r="AY103" s="88">
        <f>AV103+AS103+AP103</f>
        <v>0</v>
      </c>
      <c r="AZ103" s="88">
        <f>AW103+AT103+AQ103</f>
        <v>0</v>
      </c>
      <c r="BA103" s="204" t="e">
        <f t="shared" si="73"/>
        <v>#DIV/0!</v>
      </c>
      <c r="BB103" s="82"/>
      <c r="BC103" s="82"/>
      <c r="BD103" s="100" t="e">
        <f t="shared" si="88"/>
        <v>#DIV/0!</v>
      </c>
      <c r="BE103" s="82"/>
      <c r="BF103" s="82"/>
      <c r="BG103" s="100" t="e">
        <f t="shared" si="89"/>
        <v>#DIV/0!</v>
      </c>
      <c r="BH103" s="82"/>
      <c r="BI103" s="131"/>
      <c r="BJ103" s="99" t="e">
        <f t="shared" si="90"/>
        <v>#DIV/0!</v>
      </c>
      <c r="BK103" s="200">
        <f>BH103+BE103+BB103</f>
        <v>0</v>
      </c>
      <c r="BL103" s="200">
        <f>BI103+BF103+BC103</f>
        <v>0</v>
      </c>
      <c r="BM103" s="204" t="e">
        <f t="shared" si="74"/>
        <v>#DIV/0!</v>
      </c>
      <c r="BN103" s="97">
        <f>I103+L103+O103+AE103+AH103+AK103+AQ103+AT103+AW103+BC103+BF103+BI103</f>
        <v>0</v>
      </c>
      <c r="BO103" s="134">
        <f t="shared" si="91"/>
        <v>0</v>
      </c>
      <c r="BP103" s="197">
        <f t="shared" si="71"/>
        <v>2000</v>
      </c>
    </row>
    <row r="104" spans="1:68" ht="13.5" thickBot="1">
      <c r="A104" s="102">
        <v>2</v>
      </c>
      <c r="B104" s="103">
        <v>2</v>
      </c>
      <c r="C104" s="103">
        <v>8</v>
      </c>
      <c r="D104" s="103">
        <v>2</v>
      </c>
      <c r="E104" s="202"/>
      <c r="F104" s="155" t="s">
        <v>94</v>
      </c>
      <c r="G104" s="88">
        <f>150000-20000-100000</f>
        <v>30000</v>
      </c>
      <c r="H104" s="82"/>
      <c r="I104" s="131"/>
      <c r="J104" s="138" t="e">
        <f t="shared" si="78"/>
        <v>#DIV/0!</v>
      </c>
      <c r="K104" s="203"/>
      <c r="L104" s="82"/>
      <c r="M104" s="89" t="e">
        <f t="shared" si="79"/>
        <v>#DIV/0!</v>
      </c>
      <c r="N104" s="82"/>
      <c r="O104" s="82"/>
      <c r="P104" s="89" t="e">
        <f t="shared" si="92"/>
        <v>#DIV/0!</v>
      </c>
      <c r="Q104" s="200">
        <f>N104+K104+H104</f>
        <v>0</v>
      </c>
      <c r="R104" s="200"/>
      <c r="S104" s="200"/>
      <c r="T104" s="200"/>
      <c r="U104" s="200"/>
      <c r="V104" s="200"/>
      <c r="W104" s="200">
        <v>4231.51</v>
      </c>
      <c r="X104" s="421"/>
      <c r="Y104" s="235"/>
      <c r="Z104" s="424"/>
      <c r="AA104" s="425">
        <v>0</v>
      </c>
      <c r="AB104" s="232">
        <f>+I104+L104+O104+S104+T104+U104+V104+W104+X104+Y104+AA104</f>
        <v>4231.51</v>
      </c>
      <c r="AC104" s="443" t="e">
        <f t="shared" si="96"/>
        <v>#DIV/0!</v>
      </c>
      <c r="AD104" s="82"/>
      <c r="AE104" s="131"/>
      <c r="AF104" s="89" t="e">
        <f t="shared" si="82"/>
        <v>#DIV/0!</v>
      </c>
      <c r="AG104" s="82"/>
      <c r="AH104" s="131"/>
      <c r="AI104" s="89" t="e">
        <f t="shared" si="83"/>
        <v>#DIV/0!</v>
      </c>
      <c r="AJ104" s="82"/>
      <c r="AK104" s="131"/>
      <c r="AL104" s="89" t="e">
        <f t="shared" si="84"/>
        <v>#DIV/0!</v>
      </c>
      <c r="AM104" s="200">
        <f>AJ104+AG104+AD104</f>
        <v>0</v>
      </c>
      <c r="AN104" s="200">
        <f>AK104+AH104+AE104</f>
        <v>0</v>
      </c>
      <c r="AO104" s="204" t="e">
        <f t="shared" si="56"/>
        <v>#DIV/0!</v>
      </c>
      <c r="AP104" s="82"/>
      <c r="AQ104" s="131"/>
      <c r="AR104" s="98" t="e">
        <f t="shared" si="85"/>
        <v>#DIV/0!</v>
      </c>
      <c r="AS104" s="82"/>
      <c r="AT104" s="131"/>
      <c r="AU104" s="99" t="e">
        <f t="shared" si="86"/>
        <v>#DIV/0!</v>
      </c>
      <c r="AV104" s="87"/>
      <c r="AW104" s="87"/>
      <c r="AX104" s="100" t="e">
        <f t="shared" si="87"/>
        <v>#DIV/0!</v>
      </c>
      <c r="AY104" s="88">
        <f>AV104+AS104+AP104</f>
        <v>0</v>
      </c>
      <c r="AZ104" s="88">
        <f>AW104+AT104+AQ104</f>
        <v>0</v>
      </c>
      <c r="BA104" s="204" t="e">
        <f t="shared" si="73"/>
        <v>#DIV/0!</v>
      </c>
      <c r="BB104" s="82"/>
      <c r="BC104" s="82"/>
      <c r="BD104" s="100" t="e">
        <f t="shared" si="88"/>
        <v>#DIV/0!</v>
      </c>
      <c r="BE104" s="82"/>
      <c r="BF104" s="82"/>
      <c r="BG104" s="100" t="e">
        <f t="shared" si="89"/>
        <v>#DIV/0!</v>
      </c>
      <c r="BH104" s="82"/>
      <c r="BI104" s="131"/>
      <c r="BJ104" s="99" t="e">
        <f t="shared" si="90"/>
        <v>#DIV/0!</v>
      </c>
      <c r="BK104" s="200">
        <f>BH104+BE104+BB104</f>
        <v>0</v>
      </c>
      <c r="BL104" s="200">
        <f>BI104+BF104+BC104</f>
        <v>0</v>
      </c>
      <c r="BM104" s="204" t="e">
        <f t="shared" si="74"/>
        <v>#DIV/0!</v>
      </c>
      <c r="BN104" s="97">
        <f>I104+L104+O104+AE104+AH104+AK104+AQ104+AT104+AW104+BC104+BF104+BI104</f>
        <v>0</v>
      </c>
      <c r="BO104" s="134">
        <f t="shared" si="91"/>
        <v>0</v>
      </c>
      <c r="BP104" s="197">
        <f t="shared" si="71"/>
        <v>25768.489999999998</v>
      </c>
    </row>
    <row r="105" spans="1:68" ht="22.5" thickBot="1">
      <c r="A105" s="102">
        <v>2</v>
      </c>
      <c r="B105" s="103">
        <v>2</v>
      </c>
      <c r="C105" s="103">
        <v>8</v>
      </c>
      <c r="D105" s="103">
        <v>5</v>
      </c>
      <c r="E105" s="202"/>
      <c r="F105" s="155" t="s">
        <v>95</v>
      </c>
      <c r="G105" s="82">
        <v>45000</v>
      </c>
      <c r="H105" s="82">
        <f>H106+H107+H108</f>
        <v>0</v>
      </c>
      <c r="I105" s="131">
        <f>I106+I107+I108</f>
        <v>0</v>
      </c>
      <c r="J105" s="138" t="e">
        <f t="shared" si="78"/>
        <v>#DIV/0!</v>
      </c>
      <c r="K105" s="203">
        <f>K106+K107+K108</f>
        <v>0</v>
      </c>
      <c r="L105" s="82">
        <f>L106+L107+L108</f>
        <v>0</v>
      </c>
      <c r="M105" s="89" t="e">
        <f t="shared" si="79"/>
        <v>#DIV/0!</v>
      </c>
      <c r="N105" s="82">
        <f>N106+N107+N108</f>
        <v>0</v>
      </c>
      <c r="O105" s="82">
        <f>O106+O107+O108</f>
        <v>0</v>
      </c>
      <c r="P105" s="89" t="e">
        <f t="shared" si="92"/>
        <v>#DIV/0!</v>
      </c>
      <c r="Q105" s="82">
        <f>Q106+Q107+Q108</f>
        <v>0</v>
      </c>
      <c r="R105" s="82"/>
      <c r="S105" s="82"/>
      <c r="T105" s="82"/>
      <c r="U105" s="82"/>
      <c r="V105" s="82"/>
      <c r="W105" s="82">
        <f>+W107+W106+W108</f>
        <v>1888</v>
      </c>
      <c r="X105" s="131"/>
      <c r="Y105" s="426"/>
      <c r="Z105" s="426"/>
      <c r="AA105" s="426"/>
      <c r="AB105" s="232">
        <f>AB106+AB107+AB108</f>
        <v>1888</v>
      </c>
      <c r="AC105" s="443" t="e">
        <f t="shared" si="96"/>
        <v>#DIV/0!</v>
      </c>
      <c r="AD105" s="82">
        <f>AD106+AD107+AD108</f>
        <v>0</v>
      </c>
      <c r="AE105" s="131">
        <f>AE106+AE107+AE108</f>
        <v>0</v>
      </c>
      <c r="AF105" s="89" t="e">
        <f t="shared" si="82"/>
        <v>#DIV/0!</v>
      </c>
      <c r="AG105" s="82">
        <f>AG106+AG107+AG108</f>
        <v>0</v>
      </c>
      <c r="AH105" s="131">
        <f>AH106+AH107+AH108</f>
        <v>0</v>
      </c>
      <c r="AI105" s="89" t="e">
        <f t="shared" si="83"/>
        <v>#DIV/0!</v>
      </c>
      <c r="AJ105" s="82">
        <f>AJ106+AJ107+AJ108</f>
        <v>0</v>
      </c>
      <c r="AK105" s="131">
        <f>AK106+AK107+AK108</f>
        <v>0</v>
      </c>
      <c r="AL105" s="89" t="e">
        <f t="shared" si="84"/>
        <v>#DIV/0!</v>
      </c>
      <c r="AM105" s="82">
        <f>AM106+AM107+AM108</f>
        <v>0</v>
      </c>
      <c r="AN105" s="82">
        <f>AN106+AN107+AN108</f>
        <v>0</v>
      </c>
      <c r="AO105" s="204" t="e">
        <f t="shared" si="56"/>
        <v>#DIV/0!</v>
      </c>
      <c r="AP105" s="82">
        <f>AP106+AP107+AP108</f>
        <v>0</v>
      </c>
      <c r="AQ105" s="131">
        <f>AQ106+AQ107+AQ108</f>
        <v>0</v>
      </c>
      <c r="AR105" s="98" t="e">
        <f t="shared" si="85"/>
        <v>#DIV/0!</v>
      </c>
      <c r="AS105" s="82">
        <f>AS106+AS107+AS108</f>
        <v>0</v>
      </c>
      <c r="AT105" s="131">
        <f>AT106+AT107+AT108</f>
        <v>0</v>
      </c>
      <c r="AU105" s="99" t="e">
        <f t="shared" si="86"/>
        <v>#DIV/0!</v>
      </c>
      <c r="AV105" s="82">
        <f>AV106+AV107+AV108</f>
        <v>0</v>
      </c>
      <c r="AW105" s="82">
        <f>AW106+AW107+AW108</f>
        <v>0</v>
      </c>
      <c r="AX105" s="100" t="e">
        <f t="shared" si="87"/>
        <v>#DIV/0!</v>
      </c>
      <c r="AY105" s="82">
        <f>AY106+AY107+AY108</f>
        <v>0</v>
      </c>
      <c r="AZ105" s="82">
        <f>AZ106+AZ107+AZ108</f>
        <v>0</v>
      </c>
      <c r="BA105" s="204" t="e">
        <f t="shared" si="73"/>
        <v>#DIV/0!</v>
      </c>
      <c r="BB105" s="82"/>
      <c r="BC105" s="82"/>
      <c r="BD105" s="100" t="e">
        <f t="shared" si="88"/>
        <v>#DIV/0!</v>
      </c>
      <c r="BE105" s="82"/>
      <c r="BF105" s="82"/>
      <c r="BG105" s="100" t="e">
        <f t="shared" si="89"/>
        <v>#DIV/0!</v>
      </c>
      <c r="BH105" s="82">
        <f>BH106+BH107+BH108</f>
        <v>0</v>
      </c>
      <c r="BI105" s="131">
        <f>BI106+BI107+BI108</f>
        <v>0</v>
      </c>
      <c r="BJ105" s="99" t="e">
        <f t="shared" si="90"/>
        <v>#DIV/0!</v>
      </c>
      <c r="BK105" s="82">
        <f>BK106+BK107+BK108</f>
        <v>0</v>
      </c>
      <c r="BL105" s="82">
        <f>BL106+BL107+BL108</f>
        <v>0</v>
      </c>
      <c r="BM105" s="204" t="e">
        <f t="shared" si="74"/>
        <v>#DIV/0!</v>
      </c>
      <c r="BN105" s="131">
        <f>BN106+BN107+BN108</f>
        <v>0</v>
      </c>
      <c r="BO105" s="134">
        <f t="shared" si="91"/>
        <v>0</v>
      </c>
      <c r="BP105" s="197">
        <f t="shared" si="71"/>
        <v>43112</v>
      </c>
    </row>
    <row r="106" spans="1:68" s="78" customFormat="1" ht="13.5" thickBot="1">
      <c r="A106" s="83">
        <v>2</v>
      </c>
      <c r="B106" s="84">
        <v>2</v>
      </c>
      <c r="C106" s="84">
        <v>8</v>
      </c>
      <c r="D106" s="84">
        <v>5</v>
      </c>
      <c r="E106" s="85" t="s">
        <v>149</v>
      </c>
      <c r="F106" s="90" t="s">
        <v>96</v>
      </c>
      <c r="G106" s="88">
        <f>20000-10000</f>
        <v>10000</v>
      </c>
      <c r="H106" s="88"/>
      <c r="I106" s="97"/>
      <c r="J106" s="138" t="e">
        <f t="shared" si="78"/>
        <v>#DIV/0!</v>
      </c>
      <c r="K106" s="148"/>
      <c r="L106" s="88"/>
      <c r="M106" s="89" t="e">
        <f t="shared" si="79"/>
        <v>#DIV/0!</v>
      </c>
      <c r="N106" s="88"/>
      <c r="O106" s="88"/>
      <c r="P106" s="89" t="e">
        <f t="shared" si="92"/>
        <v>#DIV/0!</v>
      </c>
      <c r="Q106" s="200">
        <f>N106+K106+H106</f>
        <v>0</v>
      </c>
      <c r="R106" s="200"/>
      <c r="S106" s="200"/>
      <c r="T106" s="200"/>
      <c r="U106" s="200"/>
      <c r="V106" s="200"/>
      <c r="W106" s="200">
        <v>0</v>
      </c>
      <c r="X106" s="421"/>
      <c r="Y106" s="425"/>
      <c r="Z106" s="425"/>
      <c r="AA106" s="425"/>
      <c r="AB106" s="232">
        <f>+I106+L106+O106+S106+T106+U106+V106+W106+X106+Y106</f>
        <v>0</v>
      </c>
      <c r="AC106" s="443" t="e">
        <f t="shared" si="96"/>
        <v>#DIV/0!</v>
      </c>
      <c r="AD106" s="88"/>
      <c r="AE106" s="97"/>
      <c r="AF106" s="89" t="e">
        <f t="shared" si="82"/>
        <v>#DIV/0!</v>
      </c>
      <c r="AG106" s="88"/>
      <c r="AH106" s="97"/>
      <c r="AI106" s="89" t="e">
        <f t="shared" si="83"/>
        <v>#DIV/0!</v>
      </c>
      <c r="AJ106" s="88"/>
      <c r="AK106" s="97"/>
      <c r="AL106" s="89" t="e">
        <f t="shared" si="84"/>
        <v>#DIV/0!</v>
      </c>
      <c r="AM106" s="200">
        <f aca="true" t="shared" si="102" ref="AM106:AN108">AJ106+AG106+AD106</f>
        <v>0</v>
      </c>
      <c r="AN106" s="200">
        <f t="shared" si="102"/>
        <v>0</v>
      </c>
      <c r="AO106" s="204" t="e">
        <f t="shared" si="56"/>
        <v>#DIV/0!</v>
      </c>
      <c r="AP106" s="88"/>
      <c r="AQ106" s="97"/>
      <c r="AR106" s="98" t="e">
        <f t="shared" si="85"/>
        <v>#DIV/0!</v>
      </c>
      <c r="AS106" s="88"/>
      <c r="AT106" s="97"/>
      <c r="AU106" s="99" t="e">
        <f t="shared" si="86"/>
        <v>#DIV/0!</v>
      </c>
      <c r="AV106" s="86"/>
      <c r="AW106" s="86"/>
      <c r="AX106" s="100" t="e">
        <f t="shared" si="87"/>
        <v>#DIV/0!</v>
      </c>
      <c r="AY106" s="88">
        <f aca="true" t="shared" si="103" ref="AY106:AZ108">AV106+AS106+AP106</f>
        <v>0</v>
      </c>
      <c r="AZ106" s="88">
        <f t="shared" si="103"/>
        <v>0</v>
      </c>
      <c r="BA106" s="204" t="e">
        <f t="shared" si="73"/>
        <v>#DIV/0!</v>
      </c>
      <c r="BB106" s="88"/>
      <c r="BC106" s="88"/>
      <c r="BD106" s="100" t="e">
        <f t="shared" si="88"/>
        <v>#DIV/0!</v>
      </c>
      <c r="BE106" s="88"/>
      <c r="BF106" s="88"/>
      <c r="BG106" s="100" t="e">
        <f t="shared" si="89"/>
        <v>#DIV/0!</v>
      </c>
      <c r="BH106" s="88"/>
      <c r="BI106" s="97"/>
      <c r="BJ106" s="99" t="e">
        <f t="shared" si="90"/>
        <v>#DIV/0!</v>
      </c>
      <c r="BK106" s="200">
        <f aca="true" t="shared" si="104" ref="BK106:BL108">BH106+BE106+BB106</f>
        <v>0</v>
      </c>
      <c r="BL106" s="200">
        <f t="shared" si="104"/>
        <v>0</v>
      </c>
      <c r="BM106" s="204" t="e">
        <f t="shared" si="74"/>
        <v>#DIV/0!</v>
      </c>
      <c r="BN106" s="97">
        <f>I106+L106+O106+AE106+AH106+AK106+AQ106+AT106+AW106+BC106+BF106+BI106</f>
        <v>0</v>
      </c>
      <c r="BO106" s="134">
        <f t="shared" si="91"/>
        <v>0</v>
      </c>
      <c r="BP106" s="197">
        <f t="shared" si="71"/>
        <v>10000</v>
      </c>
    </row>
    <row r="107" spans="1:68" s="78" customFormat="1" ht="13.5" thickBot="1">
      <c r="A107" s="83">
        <v>2</v>
      </c>
      <c r="B107" s="84">
        <v>2</v>
      </c>
      <c r="C107" s="84">
        <v>8</v>
      </c>
      <c r="D107" s="84">
        <v>5</v>
      </c>
      <c r="E107" s="85" t="s">
        <v>150</v>
      </c>
      <c r="F107" s="90" t="s">
        <v>129</v>
      </c>
      <c r="G107" s="88">
        <v>10000</v>
      </c>
      <c r="H107" s="88"/>
      <c r="I107" s="97"/>
      <c r="J107" s="138" t="e">
        <f t="shared" si="78"/>
        <v>#DIV/0!</v>
      </c>
      <c r="K107" s="148"/>
      <c r="L107" s="88"/>
      <c r="M107" s="89" t="e">
        <f t="shared" si="79"/>
        <v>#DIV/0!</v>
      </c>
      <c r="N107" s="88"/>
      <c r="O107" s="88"/>
      <c r="P107" s="89" t="e">
        <f t="shared" si="92"/>
        <v>#DIV/0!</v>
      </c>
      <c r="Q107" s="200">
        <f>N107+K107+H107</f>
        <v>0</v>
      </c>
      <c r="R107" s="200"/>
      <c r="S107" s="200"/>
      <c r="T107" s="200"/>
      <c r="U107" s="200"/>
      <c r="V107" s="200"/>
      <c r="W107" s="200">
        <v>1888</v>
      </c>
      <c r="X107" s="200"/>
      <c r="Y107" s="421"/>
      <c r="Z107" s="425"/>
      <c r="AA107" s="425">
        <v>0</v>
      </c>
      <c r="AB107" s="232">
        <f>+I107+L107+S107+W107+X107+Y107+Z107+AA107</f>
        <v>1888</v>
      </c>
      <c r="AC107" s="443" t="e">
        <f t="shared" si="96"/>
        <v>#DIV/0!</v>
      </c>
      <c r="AD107" s="88"/>
      <c r="AE107" s="97"/>
      <c r="AF107" s="89" t="e">
        <f t="shared" si="82"/>
        <v>#DIV/0!</v>
      </c>
      <c r="AG107" s="88"/>
      <c r="AH107" s="97"/>
      <c r="AI107" s="89" t="e">
        <f t="shared" si="83"/>
        <v>#DIV/0!</v>
      </c>
      <c r="AJ107" s="88"/>
      <c r="AK107" s="97"/>
      <c r="AL107" s="89" t="e">
        <f t="shared" si="84"/>
        <v>#DIV/0!</v>
      </c>
      <c r="AM107" s="200">
        <f t="shared" si="102"/>
        <v>0</v>
      </c>
      <c r="AN107" s="200">
        <f t="shared" si="102"/>
        <v>0</v>
      </c>
      <c r="AO107" s="204" t="e">
        <f t="shared" si="56"/>
        <v>#DIV/0!</v>
      </c>
      <c r="AP107" s="88"/>
      <c r="AQ107" s="97"/>
      <c r="AR107" s="98" t="e">
        <f t="shared" si="85"/>
        <v>#DIV/0!</v>
      </c>
      <c r="AS107" s="88"/>
      <c r="AT107" s="97"/>
      <c r="AU107" s="99" t="e">
        <f t="shared" si="86"/>
        <v>#DIV/0!</v>
      </c>
      <c r="AV107" s="86"/>
      <c r="AW107" s="86"/>
      <c r="AX107" s="100" t="e">
        <f t="shared" si="87"/>
        <v>#DIV/0!</v>
      </c>
      <c r="AY107" s="88">
        <f t="shared" si="103"/>
        <v>0</v>
      </c>
      <c r="AZ107" s="88">
        <f t="shared" si="103"/>
        <v>0</v>
      </c>
      <c r="BA107" s="204" t="e">
        <f t="shared" si="73"/>
        <v>#DIV/0!</v>
      </c>
      <c r="BB107" s="88"/>
      <c r="BC107" s="88"/>
      <c r="BD107" s="100" t="e">
        <f t="shared" si="88"/>
        <v>#DIV/0!</v>
      </c>
      <c r="BE107" s="88"/>
      <c r="BF107" s="88"/>
      <c r="BG107" s="100" t="e">
        <f t="shared" si="89"/>
        <v>#DIV/0!</v>
      </c>
      <c r="BH107" s="88"/>
      <c r="BI107" s="97"/>
      <c r="BJ107" s="99" t="e">
        <f t="shared" si="90"/>
        <v>#DIV/0!</v>
      </c>
      <c r="BK107" s="200">
        <f t="shared" si="104"/>
        <v>0</v>
      </c>
      <c r="BL107" s="200">
        <f t="shared" si="104"/>
        <v>0</v>
      </c>
      <c r="BM107" s="204" t="e">
        <f t="shared" si="74"/>
        <v>#DIV/0!</v>
      </c>
      <c r="BN107" s="97">
        <f>I107+L107+O107+AE107+AH107+AK107+AQ107+AT107+AW107+BC107+BF107+BI107</f>
        <v>0</v>
      </c>
      <c r="BO107" s="134">
        <f t="shared" si="91"/>
        <v>0</v>
      </c>
      <c r="BP107" s="197">
        <f t="shared" si="71"/>
        <v>8112</v>
      </c>
    </row>
    <row r="108" spans="1:68" s="78" customFormat="1" ht="13.5" thickBot="1">
      <c r="A108" s="83">
        <v>2</v>
      </c>
      <c r="B108" s="84">
        <v>2</v>
      </c>
      <c r="C108" s="84">
        <v>8</v>
      </c>
      <c r="D108" s="84">
        <v>5</v>
      </c>
      <c r="E108" s="85" t="s">
        <v>151</v>
      </c>
      <c r="F108" s="90" t="s">
        <v>39</v>
      </c>
      <c r="G108" s="88">
        <f>15000-10000</f>
        <v>5000</v>
      </c>
      <c r="H108" s="88"/>
      <c r="I108" s="97"/>
      <c r="J108" s="138" t="e">
        <f t="shared" si="78"/>
        <v>#DIV/0!</v>
      </c>
      <c r="K108" s="148"/>
      <c r="L108" s="88"/>
      <c r="M108" s="89" t="e">
        <f t="shared" si="79"/>
        <v>#DIV/0!</v>
      </c>
      <c r="N108" s="88"/>
      <c r="O108" s="88"/>
      <c r="P108" s="89" t="e">
        <f t="shared" si="92"/>
        <v>#DIV/0!</v>
      </c>
      <c r="Q108" s="200">
        <f>N108+K108+H108</f>
        <v>0</v>
      </c>
      <c r="R108" s="200"/>
      <c r="S108" s="200"/>
      <c r="T108" s="200"/>
      <c r="U108" s="200"/>
      <c r="V108" s="200"/>
      <c r="W108" s="200"/>
      <c r="X108" s="200"/>
      <c r="Y108" s="421"/>
      <c r="Z108" s="425" t="s">
        <v>7</v>
      </c>
      <c r="AA108" s="425"/>
      <c r="AB108" s="232">
        <f>+I108+L108+O108+S108+T108+U108+V108+W108+X108+Y108</f>
        <v>0</v>
      </c>
      <c r="AC108" s="443" t="e">
        <f t="shared" si="96"/>
        <v>#DIV/0!</v>
      </c>
      <c r="AD108" s="88"/>
      <c r="AE108" s="97"/>
      <c r="AF108" s="89" t="e">
        <f t="shared" si="82"/>
        <v>#DIV/0!</v>
      </c>
      <c r="AG108" s="88"/>
      <c r="AH108" s="97"/>
      <c r="AI108" s="89" t="e">
        <f t="shared" si="83"/>
        <v>#DIV/0!</v>
      </c>
      <c r="AJ108" s="88"/>
      <c r="AK108" s="97"/>
      <c r="AL108" s="89" t="e">
        <f t="shared" si="84"/>
        <v>#DIV/0!</v>
      </c>
      <c r="AM108" s="200">
        <f t="shared" si="102"/>
        <v>0</v>
      </c>
      <c r="AN108" s="200">
        <f t="shared" si="102"/>
        <v>0</v>
      </c>
      <c r="AO108" s="204" t="e">
        <f t="shared" si="56"/>
        <v>#DIV/0!</v>
      </c>
      <c r="AP108" s="88"/>
      <c r="AQ108" s="97"/>
      <c r="AR108" s="98" t="e">
        <f t="shared" si="85"/>
        <v>#DIV/0!</v>
      </c>
      <c r="AS108" s="88"/>
      <c r="AT108" s="97"/>
      <c r="AU108" s="99" t="e">
        <f t="shared" si="86"/>
        <v>#DIV/0!</v>
      </c>
      <c r="AV108" s="86"/>
      <c r="AW108" s="86"/>
      <c r="AX108" s="100" t="e">
        <f t="shared" si="87"/>
        <v>#DIV/0!</v>
      </c>
      <c r="AY108" s="88">
        <f t="shared" si="103"/>
        <v>0</v>
      </c>
      <c r="AZ108" s="88">
        <f t="shared" si="103"/>
        <v>0</v>
      </c>
      <c r="BA108" s="204" t="e">
        <f t="shared" si="73"/>
        <v>#DIV/0!</v>
      </c>
      <c r="BB108" s="88"/>
      <c r="BC108" s="88"/>
      <c r="BD108" s="100" t="e">
        <f t="shared" si="88"/>
        <v>#DIV/0!</v>
      </c>
      <c r="BE108" s="88"/>
      <c r="BF108" s="88"/>
      <c r="BG108" s="100" t="e">
        <f t="shared" si="89"/>
        <v>#DIV/0!</v>
      </c>
      <c r="BH108" s="88"/>
      <c r="BI108" s="97"/>
      <c r="BJ108" s="99" t="e">
        <f t="shared" si="90"/>
        <v>#DIV/0!</v>
      </c>
      <c r="BK108" s="200">
        <f t="shared" si="104"/>
        <v>0</v>
      </c>
      <c r="BL108" s="200">
        <f t="shared" si="104"/>
        <v>0</v>
      </c>
      <c r="BM108" s="204" t="e">
        <f t="shared" si="74"/>
        <v>#DIV/0!</v>
      </c>
      <c r="BN108" s="97">
        <f>I108+L108+O108+AE108+AH108+AK108+AQ108+AT108+AW108+BC108+BF108+BI108</f>
        <v>0</v>
      </c>
      <c r="BO108" s="134">
        <f t="shared" si="91"/>
        <v>0</v>
      </c>
      <c r="BP108" s="197">
        <f t="shared" si="71"/>
        <v>5000</v>
      </c>
    </row>
    <row r="109" spans="1:68" ht="13.5" thickBot="1">
      <c r="A109" s="102">
        <v>2</v>
      </c>
      <c r="B109" s="103">
        <v>2</v>
      </c>
      <c r="C109" s="103">
        <v>8</v>
      </c>
      <c r="D109" s="103">
        <v>6</v>
      </c>
      <c r="E109" s="202"/>
      <c r="F109" s="155" t="s">
        <v>40</v>
      </c>
      <c r="G109" s="82">
        <f>+G110+G111</f>
        <v>225000</v>
      </c>
      <c r="H109" s="82">
        <f>H110</f>
        <v>0</v>
      </c>
      <c r="I109" s="131">
        <f>I110</f>
        <v>0</v>
      </c>
      <c r="J109" s="138" t="e">
        <f t="shared" si="78"/>
        <v>#DIV/0!</v>
      </c>
      <c r="K109" s="203">
        <f>K110</f>
        <v>0</v>
      </c>
      <c r="L109" s="82">
        <f>L110</f>
        <v>0</v>
      </c>
      <c r="M109" s="89" t="e">
        <f t="shared" si="79"/>
        <v>#DIV/0!</v>
      </c>
      <c r="N109" s="82">
        <f>N110</f>
        <v>0</v>
      </c>
      <c r="O109" s="82">
        <f>O110</f>
        <v>0</v>
      </c>
      <c r="P109" s="89" t="e">
        <f t="shared" si="92"/>
        <v>#DIV/0!</v>
      </c>
      <c r="Q109" s="82">
        <f>Q110</f>
        <v>0</v>
      </c>
      <c r="R109" s="82"/>
      <c r="S109" s="82"/>
      <c r="T109" s="82"/>
      <c r="U109" s="82"/>
      <c r="V109" s="82"/>
      <c r="W109" s="82"/>
      <c r="X109" s="82"/>
      <c r="Y109" s="131"/>
      <c r="Z109" s="426"/>
      <c r="AA109" s="426"/>
      <c r="AB109" s="232">
        <f>AB110+AB111</f>
        <v>0</v>
      </c>
      <c r="AC109" s="443" t="e">
        <f t="shared" si="96"/>
        <v>#DIV/0!</v>
      </c>
      <c r="AD109" s="82">
        <f>AD110</f>
        <v>0</v>
      </c>
      <c r="AE109" s="131">
        <f>AE110</f>
        <v>0</v>
      </c>
      <c r="AF109" s="89" t="e">
        <f t="shared" si="82"/>
        <v>#DIV/0!</v>
      </c>
      <c r="AG109" s="82">
        <f>AG110</f>
        <v>0</v>
      </c>
      <c r="AH109" s="131">
        <f>AH110</f>
        <v>0</v>
      </c>
      <c r="AI109" s="89" t="e">
        <f t="shared" si="83"/>
        <v>#DIV/0!</v>
      </c>
      <c r="AJ109" s="82">
        <f>AJ110</f>
        <v>0</v>
      </c>
      <c r="AK109" s="131">
        <f>AK110</f>
        <v>0</v>
      </c>
      <c r="AL109" s="89" t="e">
        <f t="shared" si="84"/>
        <v>#DIV/0!</v>
      </c>
      <c r="AM109" s="82">
        <f>AM110</f>
        <v>0</v>
      </c>
      <c r="AN109" s="82">
        <f>AN110</f>
        <v>0</v>
      </c>
      <c r="AO109" s="204" t="e">
        <f t="shared" si="56"/>
        <v>#DIV/0!</v>
      </c>
      <c r="AP109" s="82">
        <f>AP110</f>
        <v>0</v>
      </c>
      <c r="AQ109" s="131">
        <f>AQ110</f>
        <v>0</v>
      </c>
      <c r="AR109" s="98" t="e">
        <f t="shared" si="85"/>
        <v>#DIV/0!</v>
      </c>
      <c r="AS109" s="82">
        <f>AS110</f>
        <v>0</v>
      </c>
      <c r="AT109" s="131">
        <f>AT110</f>
        <v>0</v>
      </c>
      <c r="AU109" s="99" t="e">
        <f t="shared" si="86"/>
        <v>#DIV/0!</v>
      </c>
      <c r="AV109" s="82">
        <f>AV110</f>
        <v>0</v>
      </c>
      <c r="AW109" s="82">
        <f>AW110</f>
        <v>0</v>
      </c>
      <c r="AX109" s="100" t="e">
        <f t="shared" si="87"/>
        <v>#DIV/0!</v>
      </c>
      <c r="AY109" s="82">
        <f>AY110</f>
        <v>0</v>
      </c>
      <c r="AZ109" s="82">
        <f>AZ110</f>
        <v>0</v>
      </c>
      <c r="BA109" s="204" t="e">
        <f t="shared" si="73"/>
        <v>#DIV/0!</v>
      </c>
      <c r="BB109" s="82"/>
      <c r="BC109" s="82"/>
      <c r="BD109" s="100" t="e">
        <f t="shared" si="88"/>
        <v>#DIV/0!</v>
      </c>
      <c r="BE109" s="82"/>
      <c r="BF109" s="82"/>
      <c r="BG109" s="100" t="e">
        <f t="shared" si="89"/>
        <v>#DIV/0!</v>
      </c>
      <c r="BH109" s="82">
        <f>BH110</f>
        <v>0</v>
      </c>
      <c r="BI109" s="131">
        <f>BI110</f>
        <v>0</v>
      </c>
      <c r="BJ109" s="99" t="e">
        <f t="shared" si="90"/>
        <v>#DIV/0!</v>
      </c>
      <c r="BK109" s="82">
        <f>BK110</f>
        <v>0</v>
      </c>
      <c r="BL109" s="82">
        <f>BL110</f>
        <v>0</v>
      </c>
      <c r="BM109" s="204" t="e">
        <f t="shared" si="74"/>
        <v>#DIV/0!</v>
      </c>
      <c r="BN109" s="131">
        <f>BN110</f>
        <v>0</v>
      </c>
      <c r="BO109" s="134">
        <f t="shared" si="91"/>
        <v>0</v>
      </c>
      <c r="BP109" s="197">
        <f t="shared" si="71"/>
        <v>225000</v>
      </c>
    </row>
    <row r="110" spans="1:68" s="78" customFormat="1" ht="13.5" thickBot="1">
      <c r="A110" s="83">
        <v>2</v>
      </c>
      <c r="B110" s="84">
        <v>2</v>
      </c>
      <c r="C110" s="84">
        <v>8</v>
      </c>
      <c r="D110" s="84">
        <v>6</v>
      </c>
      <c r="E110" s="85" t="s">
        <v>149</v>
      </c>
      <c r="F110" s="90" t="s">
        <v>16</v>
      </c>
      <c r="G110" s="88">
        <v>150000</v>
      </c>
      <c r="H110" s="88"/>
      <c r="I110" s="97"/>
      <c r="J110" s="138" t="e">
        <f t="shared" si="78"/>
        <v>#DIV/0!</v>
      </c>
      <c r="K110" s="148"/>
      <c r="L110" s="88"/>
      <c r="M110" s="89" t="e">
        <f t="shared" si="79"/>
        <v>#DIV/0!</v>
      </c>
      <c r="N110" s="88"/>
      <c r="O110" s="88"/>
      <c r="P110" s="89" t="e">
        <f t="shared" si="92"/>
        <v>#DIV/0!</v>
      </c>
      <c r="Q110" s="200">
        <f>N110+K110+H110</f>
        <v>0</v>
      </c>
      <c r="R110" s="200"/>
      <c r="S110" s="200"/>
      <c r="T110" s="200"/>
      <c r="U110" s="200"/>
      <c r="V110" s="200"/>
      <c r="W110" s="200"/>
      <c r="X110" s="200"/>
      <c r="Y110" s="421"/>
      <c r="Z110" s="425"/>
      <c r="AA110" s="425"/>
      <c r="AB110" s="232">
        <f>+I110+L110+O110+S110+T110+U110+V110+W110+X110+Y110+Z110+AA110</f>
        <v>0</v>
      </c>
      <c r="AC110" s="443" t="e">
        <f t="shared" si="96"/>
        <v>#DIV/0!</v>
      </c>
      <c r="AD110" s="88"/>
      <c r="AE110" s="97"/>
      <c r="AF110" s="89" t="e">
        <f t="shared" si="82"/>
        <v>#DIV/0!</v>
      </c>
      <c r="AG110" s="88"/>
      <c r="AH110" s="97"/>
      <c r="AI110" s="89" t="e">
        <f t="shared" si="83"/>
        <v>#DIV/0!</v>
      </c>
      <c r="AJ110" s="88"/>
      <c r="AK110" s="97"/>
      <c r="AL110" s="89" t="e">
        <f t="shared" si="84"/>
        <v>#DIV/0!</v>
      </c>
      <c r="AM110" s="200">
        <f>AJ110+AG110+AD110</f>
        <v>0</v>
      </c>
      <c r="AN110" s="200">
        <f>AK110+AH110+AE110</f>
        <v>0</v>
      </c>
      <c r="AO110" s="204" t="e">
        <f t="shared" si="56"/>
        <v>#DIV/0!</v>
      </c>
      <c r="AP110" s="88"/>
      <c r="AQ110" s="97"/>
      <c r="AR110" s="98" t="e">
        <f t="shared" si="85"/>
        <v>#DIV/0!</v>
      </c>
      <c r="AS110" s="88"/>
      <c r="AT110" s="97"/>
      <c r="AU110" s="99" t="e">
        <f t="shared" si="86"/>
        <v>#DIV/0!</v>
      </c>
      <c r="AV110" s="86"/>
      <c r="AW110" s="86"/>
      <c r="AX110" s="100" t="e">
        <f t="shared" si="87"/>
        <v>#DIV/0!</v>
      </c>
      <c r="AY110" s="88">
        <f>AV110+AS110+AP110</f>
        <v>0</v>
      </c>
      <c r="AZ110" s="88">
        <f>AW110+AT110+AQ110</f>
        <v>0</v>
      </c>
      <c r="BA110" s="204" t="e">
        <f t="shared" si="73"/>
        <v>#DIV/0!</v>
      </c>
      <c r="BB110" s="88"/>
      <c r="BC110" s="88"/>
      <c r="BD110" s="100" t="e">
        <f t="shared" si="88"/>
        <v>#DIV/0!</v>
      </c>
      <c r="BE110" s="88"/>
      <c r="BF110" s="88"/>
      <c r="BG110" s="100" t="e">
        <f t="shared" si="89"/>
        <v>#DIV/0!</v>
      </c>
      <c r="BH110" s="88"/>
      <c r="BI110" s="97"/>
      <c r="BJ110" s="99" t="e">
        <f t="shared" si="90"/>
        <v>#DIV/0!</v>
      </c>
      <c r="BK110" s="200">
        <f>BH110+BE110+BB110</f>
        <v>0</v>
      </c>
      <c r="BL110" s="200">
        <f>BI110+BF110+BC110</f>
        <v>0</v>
      </c>
      <c r="BM110" s="204" t="e">
        <f t="shared" si="74"/>
        <v>#DIV/0!</v>
      </c>
      <c r="BN110" s="97">
        <f>I110+L110+O110+AE110+AH110+AK110+AQ110+AT110+AW110+BC110+BF110+BI110</f>
        <v>0</v>
      </c>
      <c r="BO110" s="134">
        <f t="shared" si="91"/>
        <v>0</v>
      </c>
      <c r="BP110" s="197">
        <f t="shared" si="71"/>
        <v>150000</v>
      </c>
    </row>
    <row r="111" spans="1:68" s="78" customFormat="1" ht="13.5" thickBot="1">
      <c r="A111" s="83">
        <v>2</v>
      </c>
      <c r="B111" s="84">
        <v>2</v>
      </c>
      <c r="C111" s="84">
        <v>8</v>
      </c>
      <c r="D111" s="84">
        <v>6</v>
      </c>
      <c r="E111" s="85" t="s">
        <v>150</v>
      </c>
      <c r="F111" s="90" t="s">
        <v>236</v>
      </c>
      <c r="G111" s="88">
        <v>75000</v>
      </c>
      <c r="H111" s="88"/>
      <c r="I111" s="97"/>
      <c r="J111" s="138"/>
      <c r="K111" s="148"/>
      <c r="L111" s="88"/>
      <c r="M111" s="89"/>
      <c r="N111" s="88"/>
      <c r="O111" s="88"/>
      <c r="P111" s="115"/>
      <c r="Q111" s="200"/>
      <c r="R111" s="200"/>
      <c r="S111" s="200"/>
      <c r="T111" s="200"/>
      <c r="U111" s="200"/>
      <c r="V111" s="200"/>
      <c r="W111" s="200"/>
      <c r="X111" s="200"/>
      <c r="Y111" s="421"/>
      <c r="Z111" s="433"/>
      <c r="AA111" s="433">
        <v>0</v>
      </c>
      <c r="AB111" s="232">
        <f>+I111+L111+O111+S111+T111+U111+V111+W111+X111+Y111+Z111+AA111</f>
        <v>0</v>
      </c>
      <c r="AC111" s="443"/>
      <c r="AD111" s="88"/>
      <c r="AE111" s="97"/>
      <c r="AF111" s="89"/>
      <c r="AG111" s="88"/>
      <c r="AH111" s="97"/>
      <c r="AI111" s="89"/>
      <c r="AJ111" s="88"/>
      <c r="AK111" s="97"/>
      <c r="AL111" s="89"/>
      <c r="AM111" s="200"/>
      <c r="AN111" s="200"/>
      <c r="AO111" s="204"/>
      <c r="AP111" s="88"/>
      <c r="AQ111" s="97"/>
      <c r="AR111" s="98"/>
      <c r="AS111" s="88"/>
      <c r="AT111" s="97"/>
      <c r="AU111" s="99"/>
      <c r="AV111" s="86"/>
      <c r="AW111" s="86"/>
      <c r="AX111" s="100"/>
      <c r="AY111" s="88"/>
      <c r="AZ111" s="88"/>
      <c r="BA111" s="204"/>
      <c r="BB111" s="88"/>
      <c r="BC111" s="88"/>
      <c r="BD111" s="100"/>
      <c r="BE111" s="88"/>
      <c r="BF111" s="88"/>
      <c r="BG111" s="100"/>
      <c r="BH111" s="88"/>
      <c r="BI111" s="97"/>
      <c r="BJ111" s="99"/>
      <c r="BK111" s="200"/>
      <c r="BL111" s="200"/>
      <c r="BM111" s="204"/>
      <c r="BN111" s="97"/>
      <c r="BO111" s="134"/>
      <c r="BP111" s="197">
        <f t="shared" si="71"/>
        <v>75000</v>
      </c>
    </row>
    <row r="112" spans="1:68" ht="13.5" thickBot="1">
      <c r="A112" s="102">
        <v>2</v>
      </c>
      <c r="B112" s="103">
        <v>2</v>
      </c>
      <c r="C112" s="103">
        <v>8</v>
      </c>
      <c r="D112" s="103">
        <v>7</v>
      </c>
      <c r="E112" s="202"/>
      <c r="F112" s="155" t="s">
        <v>135</v>
      </c>
      <c r="G112" s="82">
        <f>G113+G114+G115+G116+G117</f>
        <v>3708912</v>
      </c>
      <c r="H112" s="82">
        <f>H113+H114+H115+H116+H117</f>
        <v>0</v>
      </c>
      <c r="I112" s="131">
        <f>I113+I114+I115+I116+I117</f>
        <v>27000</v>
      </c>
      <c r="J112" s="138" t="e">
        <f t="shared" si="78"/>
        <v>#DIV/0!</v>
      </c>
      <c r="K112" s="203">
        <f>K113+K114+K115+K116+K117</f>
        <v>0</v>
      </c>
      <c r="L112" s="82">
        <f>L113+L114+L115+L116+L117</f>
        <v>142000</v>
      </c>
      <c r="M112" s="89" t="e">
        <f t="shared" si="79"/>
        <v>#DIV/0!</v>
      </c>
      <c r="N112" s="82">
        <f aca="true" t="shared" si="105" ref="N112:T112">N113+N114+N115+N116+N117</f>
        <v>0</v>
      </c>
      <c r="O112" s="82">
        <f t="shared" si="105"/>
        <v>589500</v>
      </c>
      <c r="P112" s="82" t="e">
        <f t="shared" si="105"/>
        <v>#DIV/0!</v>
      </c>
      <c r="Q112" s="82">
        <f t="shared" si="105"/>
        <v>0</v>
      </c>
      <c r="R112" s="82">
        <f t="shared" si="105"/>
        <v>0</v>
      </c>
      <c r="S112" s="82">
        <f t="shared" si="105"/>
        <v>509500</v>
      </c>
      <c r="T112" s="82">
        <f t="shared" si="105"/>
        <v>217500</v>
      </c>
      <c r="U112" s="82">
        <f>+U117+U115+U113+U116</f>
        <v>341500</v>
      </c>
      <c r="V112" s="82">
        <f>+V117+V115+V113</f>
        <v>189500</v>
      </c>
      <c r="W112" s="82">
        <f>+W117+W115+W113</f>
        <v>626500</v>
      </c>
      <c r="X112" s="471">
        <f>+X113+X114+X115+X116+X117</f>
        <v>319500</v>
      </c>
      <c r="Y112" s="131">
        <f>+Y117+Y115+Y113</f>
        <v>0</v>
      </c>
      <c r="Z112" s="131">
        <f>+Z117+Z115+Z113</f>
        <v>0</v>
      </c>
      <c r="AA112" s="131">
        <f>+AA115+AA117+AA118</f>
        <v>0</v>
      </c>
      <c r="AB112" s="232">
        <f>AB113+AB114+AB115+AB116+AB117+AB118</f>
        <v>2962500</v>
      </c>
      <c r="AC112" s="443" t="e">
        <f t="shared" si="96"/>
        <v>#DIV/0!</v>
      </c>
      <c r="AD112" s="82">
        <f>AD113+AD114+AD115+AD116+AD117</f>
        <v>0</v>
      </c>
      <c r="AE112" s="131">
        <f>AE113+AE114+AE115+AE116+AE117</f>
        <v>0</v>
      </c>
      <c r="AF112" s="89" t="e">
        <f t="shared" si="82"/>
        <v>#DIV/0!</v>
      </c>
      <c r="AG112" s="82">
        <f>AG113+AG114+AG115+AG116+AG117</f>
        <v>0</v>
      </c>
      <c r="AH112" s="131">
        <f>AH113+AH114+AH115+AH116+AH117</f>
        <v>0</v>
      </c>
      <c r="AI112" s="89" t="e">
        <f t="shared" si="83"/>
        <v>#DIV/0!</v>
      </c>
      <c r="AJ112" s="82">
        <f>AJ113+AJ114+AJ115+AJ116+AJ117</f>
        <v>0</v>
      </c>
      <c r="AK112" s="131">
        <f>AK113+AK114+AK115+AK116+AK117</f>
        <v>0</v>
      </c>
      <c r="AL112" s="89" t="e">
        <f t="shared" si="84"/>
        <v>#DIV/0!</v>
      </c>
      <c r="AM112" s="82">
        <f>AM113+AM114+AM115+AM116+AM117</f>
        <v>0</v>
      </c>
      <c r="AN112" s="82">
        <f>AN113+AN114+AN115+AN116+AN117</f>
        <v>0</v>
      </c>
      <c r="AO112" s="204" t="e">
        <f t="shared" si="56"/>
        <v>#DIV/0!</v>
      </c>
      <c r="AP112" s="82">
        <f>AP113+AP114+AP115+AP116+AP117</f>
        <v>0</v>
      </c>
      <c r="AQ112" s="131">
        <f>AQ113+AQ114+AQ115+AQ116+AQ117</f>
        <v>0</v>
      </c>
      <c r="AR112" s="98" t="e">
        <f t="shared" si="85"/>
        <v>#DIV/0!</v>
      </c>
      <c r="AS112" s="82">
        <f>AS113+AS114+AS115+AS116+AS117</f>
        <v>0</v>
      </c>
      <c r="AT112" s="131">
        <f>AT113+AT114+AT115+AT116+AT117</f>
        <v>0</v>
      </c>
      <c r="AU112" s="99" t="e">
        <f t="shared" si="86"/>
        <v>#DIV/0!</v>
      </c>
      <c r="AV112" s="82">
        <f>AV113+AV114+AV115+AV116+AV117</f>
        <v>0</v>
      </c>
      <c r="AW112" s="82">
        <f>AW113+AW114+AW115+AW116+AW117</f>
        <v>0</v>
      </c>
      <c r="AX112" s="100" t="e">
        <f t="shared" si="87"/>
        <v>#DIV/0!</v>
      </c>
      <c r="AY112" s="82">
        <f>AY113+AY114+AY115+AY116+AY117</f>
        <v>0</v>
      </c>
      <c r="AZ112" s="82">
        <f>AZ113+AZ114+AZ115+AZ116+AZ117</f>
        <v>0</v>
      </c>
      <c r="BA112" s="204" t="e">
        <f t="shared" si="73"/>
        <v>#DIV/0!</v>
      </c>
      <c r="BB112" s="82"/>
      <c r="BC112" s="82"/>
      <c r="BD112" s="100" t="e">
        <f t="shared" si="88"/>
        <v>#DIV/0!</v>
      </c>
      <c r="BE112" s="82"/>
      <c r="BF112" s="82"/>
      <c r="BG112" s="100" t="e">
        <f t="shared" si="89"/>
        <v>#DIV/0!</v>
      </c>
      <c r="BH112" s="82">
        <f>BH113+BH114+BH115+BH116+BH117</f>
        <v>0</v>
      </c>
      <c r="BI112" s="131">
        <f>BI113+BI114+BI115+BI116+BI117</f>
        <v>0</v>
      </c>
      <c r="BJ112" s="99" t="e">
        <f t="shared" si="90"/>
        <v>#DIV/0!</v>
      </c>
      <c r="BK112" s="82">
        <f>BK113+BK114+BK115+BK116+BK117</f>
        <v>0</v>
      </c>
      <c r="BL112" s="82">
        <f>BL113+BL114+BL115+BL116+BL117</f>
        <v>0</v>
      </c>
      <c r="BM112" s="204" t="e">
        <f t="shared" si="74"/>
        <v>#DIV/0!</v>
      </c>
      <c r="BN112" s="131">
        <f>+I112+L112+O112+S112+T112+U112</f>
        <v>1827000</v>
      </c>
      <c r="BO112" s="134">
        <f t="shared" si="91"/>
        <v>0.49259728998692875</v>
      </c>
      <c r="BP112" s="197">
        <f t="shared" si="71"/>
        <v>746412</v>
      </c>
    </row>
    <row r="113" spans="1:68" s="78" customFormat="1" ht="23.25" thickBot="1">
      <c r="A113" s="83">
        <v>2</v>
      </c>
      <c r="B113" s="84">
        <v>2</v>
      </c>
      <c r="C113" s="84">
        <v>8</v>
      </c>
      <c r="D113" s="84">
        <v>7</v>
      </c>
      <c r="E113" s="85" t="s">
        <v>149</v>
      </c>
      <c r="F113" s="90" t="s">
        <v>227</v>
      </c>
      <c r="G113" s="88">
        <f>100000-18000-80000</f>
        <v>2000</v>
      </c>
      <c r="H113" s="88"/>
      <c r="I113" s="97">
        <v>0</v>
      </c>
      <c r="J113" s="138" t="e">
        <f t="shared" si="78"/>
        <v>#DIV/0!</v>
      </c>
      <c r="K113" s="148"/>
      <c r="L113" s="88">
        <v>0</v>
      </c>
      <c r="M113" s="89" t="e">
        <f t="shared" si="79"/>
        <v>#DIV/0!</v>
      </c>
      <c r="N113" s="88"/>
      <c r="O113" s="88"/>
      <c r="P113" s="89" t="e">
        <f t="shared" si="92"/>
        <v>#DIV/0!</v>
      </c>
      <c r="Q113" s="200">
        <f>N113+K113+H113</f>
        <v>0</v>
      </c>
      <c r="R113" s="200"/>
      <c r="S113" s="200"/>
      <c r="T113" s="200"/>
      <c r="U113" s="200">
        <v>0</v>
      </c>
      <c r="V113" s="200"/>
      <c r="W113" s="200">
        <v>0</v>
      </c>
      <c r="X113" s="200">
        <v>0</v>
      </c>
      <c r="Y113" s="421"/>
      <c r="Z113" s="425"/>
      <c r="AA113" s="425"/>
      <c r="AB113" s="238">
        <f>+I113+L113+O113+S113+T113+U113+V113+W113+X113+Y113+Z113+AA113</f>
        <v>0</v>
      </c>
      <c r="AC113" s="443" t="e">
        <f t="shared" si="96"/>
        <v>#DIV/0!</v>
      </c>
      <c r="AD113" s="88"/>
      <c r="AE113" s="97"/>
      <c r="AF113" s="89" t="e">
        <f t="shared" si="82"/>
        <v>#DIV/0!</v>
      </c>
      <c r="AG113" s="88"/>
      <c r="AH113" s="97"/>
      <c r="AI113" s="89" t="e">
        <f t="shared" si="83"/>
        <v>#DIV/0!</v>
      </c>
      <c r="AJ113" s="88"/>
      <c r="AK113" s="97"/>
      <c r="AL113" s="89" t="e">
        <f t="shared" si="84"/>
        <v>#DIV/0!</v>
      </c>
      <c r="AM113" s="200">
        <f aca="true" t="shared" si="106" ref="AM113:AN117">AJ113+AG113+AD113</f>
        <v>0</v>
      </c>
      <c r="AN113" s="200">
        <f t="shared" si="106"/>
        <v>0</v>
      </c>
      <c r="AO113" s="204" t="e">
        <f t="shared" si="56"/>
        <v>#DIV/0!</v>
      </c>
      <c r="AP113" s="88"/>
      <c r="AQ113" s="97"/>
      <c r="AR113" s="98" t="e">
        <f t="shared" si="85"/>
        <v>#DIV/0!</v>
      </c>
      <c r="AS113" s="88"/>
      <c r="AT113" s="97"/>
      <c r="AU113" s="99" t="e">
        <f t="shared" si="86"/>
        <v>#DIV/0!</v>
      </c>
      <c r="AV113" s="86"/>
      <c r="AW113" s="86"/>
      <c r="AX113" s="100" t="e">
        <f t="shared" si="87"/>
        <v>#DIV/0!</v>
      </c>
      <c r="AY113" s="88">
        <f aca="true" t="shared" si="107" ref="AY113:AZ117">AV113+AS113+AP113</f>
        <v>0</v>
      </c>
      <c r="AZ113" s="88">
        <f t="shared" si="107"/>
        <v>0</v>
      </c>
      <c r="BA113" s="204" t="e">
        <f t="shared" si="73"/>
        <v>#DIV/0!</v>
      </c>
      <c r="BB113" s="88"/>
      <c r="BC113" s="88"/>
      <c r="BD113" s="100" t="e">
        <f t="shared" si="88"/>
        <v>#DIV/0!</v>
      </c>
      <c r="BE113" s="88"/>
      <c r="BF113" s="88"/>
      <c r="BG113" s="100" t="e">
        <f t="shared" si="89"/>
        <v>#DIV/0!</v>
      </c>
      <c r="BH113" s="88"/>
      <c r="BI113" s="97"/>
      <c r="BJ113" s="99" t="e">
        <f t="shared" si="90"/>
        <v>#DIV/0!</v>
      </c>
      <c r="BK113" s="200">
        <f aca="true" t="shared" si="108" ref="BK113:BL117">BH113+BE113+BB113</f>
        <v>0</v>
      </c>
      <c r="BL113" s="200">
        <f t="shared" si="108"/>
        <v>0</v>
      </c>
      <c r="BM113" s="204" t="e">
        <f t="shared" si="74"/>
        <v>#DIV/0!</v>
      </c>
      <c r="BN113" s="97">
        <f>I113+L113+O113+AE113+AH113+AK113+AQ113+AT113+AW113+BC113+BF113+BI113</f>
        <v>0</v>
      </c>
      <c r="BO113" s="134">
        <f t="shared" si="91"/>
        <v>0</v>
      </c>
      <c r="BP113" s="197">
        <f t="shared" si="71"/>
        <v>2000</v>
      </c>
    </row>
    <row r="114" spans="1:68" s="78" customFormat="1" ht="13.5" thickBot="1">
      <c r="A114" s="83">
        <v>2</v>
      </c>
      <c r="B114" s="84">
        <v>2</v>
      </c>
      <c r="C114" s="84">
        <v>8</v>
      </c>
      <c r="D114" s="84">
        <v>7</v>
      </c>
      <c r="E114" s="85" t="s">
        <v>150</v>
      </c>
      <c r="F114" s="90" t="s">
        <v>130</v>
      </c>
      <c r="G114" s="88">
        <f>33400-30000</f>
        <v>3400</v>
      </c>
      <c r="H114" s="88"/>
      <c r="I114" s="97"/>
      <c r="J114" s="138" t="e">
        <f t="shared" si="78"/>
        <v>#DIV/0!</v>
      </c>
      <c r="K114" s="148"/>
      <c r="L114" s="88"/>
      <c r="M114" s="89" t="e">
        <f t="shared" si="79"/>
        <v>#DIV/0!</v>
      </c>
      <c r="N114" s="88"/>
      <c r="O114" s="88"/>
      <c r="P114" s="89" t="e">
        <f t="shared" si="92"/>
        <v>#DIV/0!</v>
      </c>
      <c r="Q114" s="200">
        <f>N114+K114+H114</f>
        <v>0</v>
      </c>
      <c r="R114" s="200"/>
      <c r="S114" s="200">
        <v>0</v>
      </c>
      <c r="T114" s="200"/>
      <c r="U114" s="200"/>
      <c r="V114" s="200"/>
      <c r="W114" s="200"/>
      <c r="X114" s="200">
        <v>0</v>
      </c>
      <c r="Y114" s="421"/>
      <c r="Z114" s="425"/>
      <c r="AA114" s="425"/>
      <c r="AB114" s="238">
        <f>+I114+L114+O114+S114+T114+U114+V114+W114+X114+Y114+Z114+AA114</f>
        <v>0</v>
      </c>
      <c r="AC114" s="443" t="e">
        <f t="shared" si="96"/>
        <v>#DIV/0!</v>
      </c>
      <c r="AD114" s="88"/>
      <c r="AE114" s="97"/>
      <c r="AF114" s="89" t="e">
        <f t="shared" si="82"/>
        <v>#DIV/0!</v>
      </c>
      <c r="AG114" s="88"/>
      <c r="AH114" s="97"/>
      <c r="AI114" s="89" t="e">
        <f t="shared" si="83"/>
        <v>#DIV/0!</v>
      </c>
      <c r="AJ114" s="88"/>
      <c r="AK114" s="97"/>
      <c r="AL114" s="89" t="e">
        <f t="shared" si="84"/>
        <v>#DIV/0!</v>
      </c>
      <c r="AM114" s="200">
        <f t="shared" si="106"/>
        <v>0</v>
      </c>
      <c r="AN114" s="200">
        <f t="shared" si="106"/>
        <v>0</v>
      </c>
      <c r="AO114" s="204" t="e">
        <f t="shared" si="56"/>
        <v>#DIV/0!</v>
      </c>
      <c r="AP114" s="88"/>
      <c r="AQ114" s="97"/>
      <c r="AR114" s="98" t="e">
        <f t="shared" si="85"/>
        <v>#DIV/0!</v>
      </c>
      <c r="AS114" s="88"/>
      <c r="AT114" s="97"/>
      <c r="AU114" s="99" t="e">
        <f t="shared" si="86"/>
        <v>#DIV/0!</v>
      </c>
      <c r="AV114" s="86"/>
      <c r="AW114" s="86"/>
      <c r="AX114" s="100" t="e">
        <f t="shared" si="87"/>
        <v>#DIV/0!</v>
      </c>
      <c r="AY114" s="88">
        <f t="shared" si="107"/>
        <v>0</v>
      </c>
      <c r="AZ114" s="88">
        <f t="shared" si="107"/>
        <v>0</v>
      </c>
      <c r="BA114" s="204" t="e">
        <f t="shared" si="73"/>
        <v>#DIV/0!</v>
      </c>
      <c r="BB114" s="88"/>
      <c r="BC114" s="88"/>
      <c r="BD114" s="100" t="e">
        <f t="shared" si="88"/>
        <v>#DIV/0!</v>
      </c>
      <c r="BE114" s="88"/>
      <c r="BF114" s="88"/>
      <c r="BG114" s="100" t="e">
        <f t="shared" si="89"/>
        <v>#DIV/0!</v>
      </c>
      <c r="BH114" s="88"/>
      <c r="BI114" s="97"/>
      <c r="BJ114" s="99" t="e">
        <f t="shared" si="90"/>
        <v>#DIV/0!</v>
      </c>
      <c r="BK114" s="200">
        <f t="shared" si="108"/>
        <v>0</v>
      </c>
      <c r="BL114" s="200">
        <f t="shared" si="108"/>
        <v>0</v>
      </c>
      <c r="BM114" s="204" t="e">
        <f t="shared" si="74"/>
        <v>#DIV/0!</v>
      </c>
      <c r="BN114" s="97">
        <f>I114+L114+O114+AE114+AH114+AK114+AQ114+AT114+AW114+BC114+BF114+BI114</f>
        <v>0</v>
      </c>
      <c r="BO114" s="134">
        <f t="shared" si="91"/>
        <v>0</v>
      </c>
      <c r="BP114" s="197">
        <f t="shared" si="71"/>
        <v>3400</v>
      </c>
    </row>
    <row r="115" spans="1:68" s="78" customFormat="1" ht="13.5" thickBot="1">
      <c r="A115" s="83">
        <v>2</v>
      </c>
      <c r="B115" s="84">
        <v>2</v>
      </c>
      <c r="C115" s="84">
        <v>8</v>
      </c>
      <c r="D115" s="84">
        <v>7</v>
      </c>
      <c r="E115" s="85" t="s">
        <v>152</v>
      </c>
      <c r="F115" s="90" t="s">
        <v>97</v>
      </c>
      <c r="G115" s="88">
        <f>2485512+389000</f>
        <v>2874512</v>
      </c>
      <c r="H115" s="88"/>
      <c r="I115" s="97">
        <v>0</v>
      </c>
      <c r="J115" s="138" t="e">
        <f t="shared" si="78"/>
        <v>#DIV/0!</v>
      </c>
      <c r="K115" s="148"/>
      <c r="L115" s="88">
        <f>70000+22500+22500</f>
        <v>115000</v>
      </c>
      <c r="M115" s="89" t="e">
        <f t="shared" si="79"/>
        <v>#DIV/0!</v>
      </c>
      <c r="N115" s="88"/>
      <c r="O115" s="88">
        <f>22500+140000+130000+270000</f>
        <v>562500</v>
      </c>
      <c r="P115" s="89" t="e">
        <f t="shared" si="92"/>
        <v>#DIV/0!</v>
      </c>
      <c r="Q115" s="200">
        <f>N115+K115+H115</f>
        <v>0</v>
      </c>
      <c r="R115" s="200"/>
      <c r="S115" s="200">
        <f>140000+22500+270000+50000</f>
        <v>482500</v>
      </c>
      <c r="T115" s="200">
        <f>22500+75000+70000+50000</f>
        <v>217500</v>
      </c>
      <c r="U115" s="200">
        <f>22500+140000+75000+50000</f>
        <v>287500</v>
      </c>
      <c r="V115" s="200">
        <f>22500+140000</f>
        <v>162500</v>
      </c>
      <c r="W115" s="200">
        <f>50000+22500+130000+270000</f>
        <v>472500</v>
      </c>
      <c r="X115" s="200">
        <f>22500+270000</f>
        <v>292500</v>
      </c>
      <c r="Y115" s="421">
        <v>0</v>
      </c>
      <c r="Z115" s="425">
        <v>0</v>
      </c>
      <c r="AA115" s="425">
        <v>0</v>
      </c>
      <c r="AB115" s="238">
        <f>+I115+L115+O115+S115+T115+U115+V115+W115+X115+Y115+Z115+AA115</f>
        <v>2592500</v>
      </c>
      <c r="AC115" s="443" t="e">
        <f t="shared" si="96"/>
        <v>#DIV/0!</v>
      </c>
      <c r="AD115" s="88"/>
      <c r="AE115" s="97"/>
      <c r="AF115" s="89" t="e">
        <f t="shared" si="82"/>
        <v>#DIV/0!</v>
      </c>
      <c r="AG115" s="88"/>
      <c r="AH115" s="97"/>
      <c r="AI115" s="89" t="e">
        <f t="shared" si="83"/>
        <v>#DIV/0!</v>
      </c>
      <c r="AJ115" s="88"/>
      <c r="AK115" s="97"/>
      <c r="AL115" s="89" t="e">
        <f t="shared" si="84"/>
        <v>#DIV/0!</v>
      </c>
      <c r="AM115" s="200">
        <f t="shared" si="106"/>
        <v>0</v>
      </c>
      <c r="AN115" s="200">
        <f t="shared" si="106"/>
        <v>0</v>
      </c>
      <c r="AO115" s="204" t="e">
        <f t="shared" si="56"/>
        <v>#DIV/0!</v>
      </c>
      <c r="AP115" s="88"/>
      <c r="AQ115" s="97"/>
      <c r="AR115" s="98" t="e">
        <f t="shared" si="85"/>
        <v>#DIV/0!</v>
      </c>
      <c r="AS115" s="88"/>
      <c r="AT115" s="97"/>
      <c r="AU115" s="99" t="e">
        <f t="shared" si="86"/>
        <v>#DIV/0!</v>
      </c>
      <c r="AV115" s="86"/>
      <c r="AW115" s="86"/>
      <c r="AX115" s="100" t="e">
        <f t="shared" si="87"/>
        <v>#DIV/0!</v>
      </c>
      <c r="AY115" s="88">
        <f t="shared" si="107"/>
        <v>0</v>
      </c>
      <c r="AZ115" s="88">
        <f t="shared" si="107"/>
        <v>0</v>
      </c>
      <c r="BA115" s="204" t="e">
        <f t="shared" si="73"/>
        <v>#DIV/0!</v>
      </c>
      <c r="BB115" s="88"/>
      <c r="BC115" s="88"/>
      <c r="BD115" s="100" t="e">
        <f t="shared" si="88"/>
        <v>#DIV/0!</v>
      </c>
      <c r="BE115" s="88"/>
      <c r="BF115" s="88"/>
      <c r="BG115" s="100" t="e">
        <f t="shared" si="89"/>
        <v>#DIV/0!</v>
      </c>
      <c r="BH115" s="88"/>
      <c r="BI115" s="97"/>
      <c r="BJ115" s="99" t="e">
        <f t="shared" si="90"/>
        <v>#DIV/0!</v>
      </c>
      <c r="BK115" s="200">
        <f t="shared" si="108"/>
        <v>0</v>
      </c>
      <c r="BL115" s="200">
        <f t="shared" si="108"/>
        <v>0</v>
      </c>
      <c r="BM115" s="204" t="e">
        <f t="shared" si="74"/>
        <v>#DIV/0!</v>
      </c>
      <c r="BN115" s="97">
        <f>I115+L115+O115+AE115+AH115+AK115+AQ115+AT115+AW115+BC115+BF115+BI115</f>
        <v>677500</v>
      </c>
      <c r="BO115" s="134">
        <f t="shared" si="91"/>
        <v>0.2356921800987437</v>
      </c>
      <c r="BP115" s="197">
        <f t="shared" si="71"/>
        <v>282012</v>
      </c>
    </row>
    <row r="116" spans="1:68" s="78" customFormat="1" ht="23.25" thickBot="1">
      <c r="A116" s="170">
        <v>2</v>
      </c>
      <c r="B116" s="171">
        <v>2</v>
      </c>
      <c r="C116" s="171">
        <v>8</v>
      </c>
      <c r="D116" s="171">
        <v>7</v>
      </c>
      <c r="E116" s="172" t="s">
        <v>153</v>
      </c>
      <c r="F116" s="173" t="s">
        <v>127</v>
      </c>
      <c r="G116" s="174">
        <f>75000-70000</f>
        <v>5000</v>
      </c>
      <c r="H116" s="174"/>
      <c r="I116" s="175"/>
      <c r="J116" s="176" t="e">
        <f t="shared" si="78"/>
        <v>#DIV/0!</v>
      </c>
      <c r="K116" s="177"/>
      <c r="L116" s="174">
        <v>0</v>
      </c>
      <c r="M116" s="178" t="e">
        <f t="shared" si="79"/>
        <v>#DIV/0!</v>
      </c>
      <c r="N116" s="174"/>
      <c r="O116" s="174">
        <v>0</v>
      </c>
      <c r="P116" s="178" t="e">
        <f t="shared" si="92"/>
        <v>#DIV/0!</v>
      </c>
      <c r="Q116" s="226">
        <f>N116+K116+H116</f>
        <v>0</v>
      </c>
      <c r="R116" s="226"/>
      <c r="S116" s="226"/>
      <c r="T116" s="226"/>
      <c r="U116" s="226">
        <v>0</v>
      </c>
      <c r="V116" s="226"/>
      <c r="W116" s="226"/>
      <c r="X116" s="226">
        <v>0</v>
      </c>
      <c r="Y116" s="428"/>
      <c r="Z116" s="425"/>
      <c r="AA116" s="425"/>
      <c r="AB116" s="238">
        <f>+I116+L116+O116+S116+T116+U116+V116+W116+X116+Y116+Z116+AA116</f>
        <v>0</v>
      </c>
      <c r="AC116" s="447" t="e">
        <f t="shared" si="96"/>
        <v>#DIV/0!</v>
      </c>
      <c r="AD116" s="174"/>
      <c r="AE116" s="175"/>
      <c r="AF116" s="178" t="e">
        <f t="shared" si="82"/>
        <v>#DIV/0!</v>
      </c>
      <c r="AG116" s="174"/>
      <c r="AH116" s="175"/>
      <c r="AI116" s="178" t="e">
        <f t="shared" si="83"/>
        <v>#DIV/0!</v>
      </c>
      <c r="AJ116" s="174"/>
      <c r="AK116" s="175"/>
      <c r="AL116" s="178" t="e">
        <f t="shared" si="84"/>
        <v>#DIV/0!</v>
      </c>
      <c r="AM116" s="226">
        <f t="shared" si="106"/>
        <v>0</v>
      </c>
      <c r="AN116" s="226">
        <f t="shared" si="106"/>
        <v>0</v>
      </c>
      <c r="AO116" s="227" t="e">
        <f t="shared" si="56"/>
        <v>#DIV/0!</v>
      </c>
      <c r="AP116" s="174"/>
      <c r="AQ116" s="175"/>
      <c r="AR116" s="179" t="e">
        <f t="shared" si="85"/>
        <v>#DIV/0!</v>
      </c>
      <c r="AS116" s="174"/>
      <c r="AT116" s="175"/>
      <c r="AU116" s="180" t="e">
        <f t="shared" si="86"/>
        <v>#DIV/0!</v>
      </c>
      <c r="AV116" s="181"/>
      <c r="AW116" s="181"/>
      <c r="AX116" s="182" t="e">
        <f t="shared" si="87"/>
        <v>#DIV/0!</v>
      </c>
      <c r="AY116" s="174">
        <f t="shared" si="107"/>
        <v>0</v>
      </c>
      <c r="AZ116" s="174">
        <f t="shared" si="107"/>
        <v>0</v>
      </c>
      <c r="BA116" s="227" t="e">
        <f t="shared" si="73"/>
        <v>#DIV/0!</v>
      </c>
      <c r="BB116" s="174"/>
      <c r="BC116" s="174"/>
      <c r="BD116" s="182" t="e">
        <f t="shared" si="88"/>
        <v>#DIV/0!</v>
      </c>
      <c r="BE116" s="174"/>
      <c r="BF116" s="174"/>
      <c r="BG116" s="182" t="e">
        <f t="shared" si="89"/>
        <v>#DIV/0!</v>
      </c>
      <c r="BH116" s="174"/>
      <c r="BI116" s="175"/>
      <c r="BJ116" s="180" t="e">
        <f t="shared" si="90"/>
        <v>#DIV/0!</v>
      </c>
      <c r="BK116" s="226">
        <f t="shared" si="108"/>
        <v>0</v>
      </c>
      <c r="BL116" s="226">
        <f t="shared" si="108"/>
        <v>0</v>
      </c>
      <c r="BM116" s="227" t="e">
        <f t="shared" si="74"/>
        <v>#DIV/0!</v>
      </c>
      <c r="BN116" s="175">
        <f>I116+L116+O116+AE116+AH116+AK116+AQ116+AT116+AW116+BC116+BF116+BI116</f>
        <v>0</v>
      </c>
      <c r="BO116" s="183">
        <f t="shared" si="91"/>
        <v>0</v>
      </c>
      <c r="BP116" s="197">
        <f t="shared" si="71"/>
        <v>5000</v>
      </c>
    </row>
    <row r="117" spans="1:68" s="78" customFormat="1" ht="13.5" thickBot="1">
      <c r="A117" s="129">
        <v>2</v>
      </c>
      <c r="B117" s="127">
        <v>2</v>
      </c>
      <c r="C117" s="127">
        <v>8</v>
      </c>
      <c r="D117" s="127">
        <v>7</v>
      </c>
      <c r="E117" s="168" t="s">
        <v>156</v>
      </c>
      <c r="F117" s="169" t="s">
        <v>134</v>
      </c>
      <c r="G117" s="114">
        <f>600000+224000</f>
        <v>824000</v>
      </c>
      <c r="H117" s="114"/>
      <c r="I117" s="111">
        <v>27000</v>
      </c>
      <c r="J117" s="112" t="e">
        <f t="shared" si="78"/>
        <v>#DIV/0!</v>
      </c>
      <c r="K117" s="113"/>
      <c r="L117" s="114">
        <v>27000</v>
      </c>
      <c r="M117" s="115" t="e">
        <f t="shared" si="79"/>
        <v>#DIV/0!</v>
      </c>
      <c r="N117" s="114"/>
      <c r="O117" s="114">
        <v>27000</v>
      </c>
      <c r="P117" s="115" t="e">
        <f t="shared" si="92"/>
        <v>#DIV/0!</v>
      </c>
      <c r="Q117" s="214">
        <f>N117+K117+H117</f>
        <v>0</v>
      </c>
      <c r="R117" s="214"/>
      <c r="S117" s="214">
        <v>27000</v>
      </c>
      <c r="T117" s="214">
        <v>0</v>
      </c>
      <c r="U117" s="214">
        <f>27000+27000</f>
        <v>54000</v>
      </c>
      <c r="V117" s="214">
        <v>27000</v>
      </c>
      <c r="W117" s="214">
        <f>27000+27000+100000</f>
        <v>154000</v>
      </c>
      <c r="X117" s="214">
        <v>27000</v>
      </c>
      <c r="Y117" s="420">
        <v>0</v>
      </c>
      <c r="Z117" s="425">
        <v>0</v>
      </c>
      <c r="AA117" s="425">
        <v>0</v>
      </c>
      <c r="AB117" s="238">
        <f>+I117+L117+O117+S117+T117+U117+V117+W117+X117+Y117+Z117+AA117</f>
        <v>370000</v>
      </c>
      <c r="AC117" s="442" t="e">
        <f t="shared" si="96"/>
        <v>#DIV/0!</v>
      </c>
      <c r="AD117" s="114"/>
      <c r="AE117" s="111"/>
      <c r="AF117" s="115" t="e">
        <f t="shared" si="82"/>
        <v>#DIV/0!</v>
      </c>
      <c r="AG117" s="114"/>
      <c r="AH117" s="111"/>
      <c r="AI117" s="115" t="e">
        <f t="shared" si="83"/>
        <v>#DIV/0!</v>
      </c>
      <c r="AJ117" s="114"/>
      <c r="AK117" s="111"/>
      <c r="AL117" s="115" t="e">
        <f t="shared" si="84"/>
        <v>#DIV/0!</v>
      </c>
      <c r="AM117" s="214">
        <f t="shared" si="106"/>
        <v>0</v>
      </c>
      <c r="AN117" s="214">
        <f t="shared" si="106"/>
        <v>0</v>
      </c>
      <c r="AO117" s="201" t="e">
        <f t="shared" si="56"/>
        <v>#DIV/0!</v>
      </c>
      <c r="AP117" s="114"/>
      <c r="AQ117" s="111"/>
      <c r="AR117" s="117" t="e">
        <f t="shared" si="85"/>
        <v>#DIV/0!</v>
      </c>
      <c r="AS117" s="114"/>
      <c r="AT117" s="111"/>
      <c r="AU117" s="118" t="e">
        <f t="shared" si="86"/>
        <v>#DIV/0!</v>
      </c>
      <c r="AV117" s="116"/>
      <c r="AW117" s="116"/>
      <c r="AX117" s="81" t="e">
        <f t="shared" si="87"/>
        <v>#DIV/0!</v>
      </c>
      <c r="AY117" s="114">
        <f t="shared" si="107"/>
        <v>0</v>
      </c>
      <c r="AZ117" s="114">
        <f t="shared" si="107"/>
        <v>0</v>
      </c>
      <c r="BA117" s="201" t="e">
        <f t="shared" si="73"/>
        <v>#DIV/0!</v>
      </c>
      <c r="BB117" s="114"/>
      <c r="BC117" s="114"/>
      <c r="BD117" s="81" t="e">
        <f t="shared" si="88"/>
        <v>#DIV/0!</v>
      </c>
      <c r="BE117" s="114"/>
      <c r="BF117" s="114"/>
      <c r="BG117" s="81" t="e">
        <f t="shared" si="89"/>
        <v>#DIV/0!</v>
      </c>
      <c r="BH117" s="114"/>
      <c r="BI117" s="111"/>
      <c r="BJ117" s="118" t="e">
        <f t="shared" si="90"/>
        <v>#DIV/0!</v>
      </c>
      <c r="BK117" s="214">
        <f t="shared" si="108"/>
        <v>0</v>
      </c>
      <c r="BL117" s="214">
        <f t="shared" si="108"/>
        <v>0</v>
      </c>
      <c r="BM117" s="201" t="e">
        <f t="shared" si="74"/>
        <v>#DIV/0!</v>
      </c>
      <c r="BN117" s="111">
        <f>+I117+L117+O117+S117+T117+U117</f>
        <v>162000</v>
      </c>
      <c r="BO117" s="115">
        <f t="shared" si="91"/>
        <v>0.1966019417475728</v>
      </c>
      <c r="BP117" s="197">
        <f t="shared" si="71"/>
        <v>454000</v>
      </c>
    </row>
    <row r="118" spans="1:68" ht="13.5" thickBot="1">
      <c r="A118" s="102">
        <v>2</v>
      </c>
      <c r="B118" s="103">
        <v>2</v>
      </c>
      <c r="C118" s="103">
        <v>8</v>
      </c>
      <c r="D118" s="103">
        <v>8</v>
      </c>
      <c r="E118" s="202"/>
      <c r="F118" s="155" t="s">
        <v>9</v>
      </c>
      <c r="G118" s="82">
        <f>G119+G120</f>
        <v>19000</v>
      </c>
      <c r="H118" s="82">
        <f>H119+H120</f>
        <v>0</v>
      </c>
      <c r="I118" s="131">
        <f>I119+I120</f>
        <v>0</v>
      </c>
      <c r="J118" s="138" t="e">
        <f t="shared" si="78"/>
        <v>#DIV/0!</v>
      </c>
      <c r="K118" s="203">
        <f>K119+K120</f>
        <v>0</v>
      </c>
      <c r="L118" s="82">
        <f>L119+L120</f>
        <v>0</v>
      </c>
      <c r="M118" s="89" t="e">
        <f t="shared" si="79"/>
        <v>#DIV/0!</v>
      </c>
      <c r="N118" s="82">
        <f>N119+N120</f>
        <v>0</v>
      </c>
      <c r="O118" s="82">
        <f>O119+O120</f>
        <v>0</v>
      </c>
      <c r="P118" s="89" t="e">
        <f t="shared" si="92"/>
        <v>#DIV/0!</v>
      </c>
      <c r="Q118" s="82">
        <f>Q119+Q120</f>
        <v>0</v>
      </c>
      <c r="R118" s="82"/>
      <c r="S118" s="82"/>
      <c r="T118" s="82"/>
      <c r="U118" s="82"/>
      <c r="V118" s="82"/>
      <c r="W118" s="82"/>
      <c r="X118" s="81"/>
      <c r="Y118" s="118">
        <v>0</v>
      </c>
      <c r="Z118" s="426"/>
      <c r="AA118" s="426">
        <v>0</v>
      </c>
      <c r="AB118" s="232">
        <v>0</v>
      </c>
      <c r="AC118" s="443" t="e">
        <f t="shared" si="96"/>
        <v>#DIV/0!</v>
      </c>
      <c r="AD118" s="82">
        <f>AD119+AD120</f>
        <v>0</v>
      </c>
      <c r="AE118" s="131">
        <f>AE119+AE120</f>
        <v>0</v>
      </c>
      <c r="AF118" s="89" t="e">
        <f t="shared" si="82"/>
        <v>#DIV/0!</v>
      </c>
      <c r="AG118" s="82">
        <f>AG119+AG120</f>
        <v>0</v>
      </c>
      <c r="AH118" s="131">
        <f>AH119+AH120</f>
        <v>0</v>
      </c>
      <c r="AI118" s="89" t="e">
        <f t="shared" si="83"/>
        <v>#DIV/0!</v>
      </c>
      <c r="AJ118" s="82">
        <f>AJ119+AJ120</f>
        <v>0</v>
      </c>
      <c r="AK118" s="131">
        <f>AK119+AK120</f>
        <v>0</v>
      </c>
      <c r="AL118" s="89" t="e">
        <f t="shared" si="84"/>
        <v>#DIV/0!</v>
      </c>
      <c r="AM118" s="82">
        <f>AM119+AM120</f>
        <v>0</v>
      </c>
      <c r="AN118" s="82">
        <f>AN119+AN120</f>
        <v>0</v>
      </c>
      <c r="AO118" s="204" t="e">
        <f t="shared" si="56"/>
        <v>#DIV/0!</v>
      </c>
      <c r="AP118" s="82">
        <f>AP119+AP120</f>
        <v>0</v>
      </c>
      <c r="AQ118" s="131">
        <f>AQ119+AQ120</f>
        <v>0</v>
      </c>
      <c r="AR118" s="98" t="e">
        <f t="shared" si="85"/>
        <v>#DIV/0!</v>
      </c>
      <c r="AS118" s="82">
        <f>AS119+AS120</f>
        <v>0</v>
      </c>
      <c r="AT118" s="131">
        <f>AT119+AT120</f>
        <v>0</v>
      </c>
      <c r="AU118" s="99" t="e">
        <f t="shared" si="86"/>
        <v>#DIV/0!</v>
      </c>
      <c r="AV118" s="82">
        <f>AV119+AV120</f>
        <v>0</v>
      </c>
      <c r="AW118" s="82">
        <f>AW119+AW120</f>
        <v>0</v>
      </c>
      <c r="AX118" s="100" t="e">
        <f t="shared" si="87"/>
        <v>#DIV/0!</v>
      </c>
      <c r="AY118" s="82">
        <f>AY119+AY120</f>
        <v>0</v>
      </c>
      <c r="AZ118" s="82">
        <f>AZ119+AZ120</f>
        <v>0</v>
      </c>
      <c r="BA118" s="204" t="e">
        <f t="shared" si="73"/>
        <v>#DIV/0!</v>
      </c>
      <c r="BB118" s="82"/>
      <c r="BC118" s="82"/>
      <c r="BD118" s="100" t="e">
        <f t="shared" si="88"/>
        <v>#DIV/0!</v>
      </c>
      <c r="BE118" s="82"/>
      <c r="BF118" s="82"/>
      <c r="BG118" s="100" t="e">
        <f t="shared" si="89"/>
        <v>#DIV/0!</v>
      </c>
      <c r="BH118" s="82">
        <f>BH119+BH120</f>
        <v>0</v>
      </c>
      <c r="BI118" s="131">
        <f>BI119+BI120</f>
        <v>0</v>
      </c>
      <c r="BJ118" s="99" t="e">
        <f t="shared" si="90"/>
        <v>#DIV/0!</v>
      </c>
      <c r="BK118" s="82">
        <f>BK119+BK120</f>
        <v>0</v>
      </c>
      <c r="BL118" s="82">
        <f>BL119+BL120</f>
        <v>0</v>
      </c>
      <c r="BM118" s="204" t="e">
        <f t="shared" si="74"/>
        <v>#DIV/0!</v>
      </c>
      <c r="BN118" s="131">
        <f>BN119+BN120</f>
        <v>0</v>
      </c>
      <c r="BO118" s="134">
        <f t="shared" si="91"/>
        <v>0</v>
      </c>
      <c r="BP118" s="197">
        <f t="shared" si="71"/>
        <v>19000</v>
      </c>
    </row>
    <row r="119" spans="1:68" s="78" customFormat="1" ht="13.5" thickBot="1">
      <c r="A119" s="83">
        <v>2</v>
      </c>
      <c r="B119" s="84">
        <v>2</v>
      </c>
      <c r="C119" s="84">
        <v>8</v>
      </c>
      <c r="D119" s="84">
        <v>8</v>
      </c>
      <c r="E119" s="85" t="s">
        <v>149</v>
      </c>
      <c r="F119" s="90" t="s">
        <v>41</v>
      </c>
      <c r="G119" s="88">
        <v>15000</v>
      </c>
      <c r="H119" s="88"/>
      <c r="I119" s="97"/>
      <c r="J119" s="138" t="e">
        <f t="shared" si="78"/>
        <v>#DIV/0!</v>
      </c>
      <c r="K119" s="148"/>
      <c r="L119" s="88"/>
      <c r="M119" s="89" t="e">
        <f t="shared" si="79"/>
        <v>#DIV/0!</v>
      </c>
      <c r="N119" s="88"/>
      <c r="O119" s="88"/>
      <c r="P119" s="89" t="e">
        <f t="shared" si="92"/>
        <v>#DIV/0!</v>
      </c>
      <c r="Q119" s="200">
        <f>N119+K119+H119</f>
        <v>0</v>
      </c>
      <c r="R119" s="200"/>
      <c r="S119" s="200"/>
      <c r="T119" s="200"/>
      <c r="U119" s="200"/>
      <c r="V119" s="200"/>
      <c r="W119" s="200"/>
      <c r="X119" s="214"/>
      <c r="Y119" s="420"/>
      <c r="Z119" s="425"/>
      <c r="AA119" s="425">
        <v>0</v>
      </c>
      <c r="AB119" s="238">
        <f>+AA119</f>
        <v>0</v>
      </c>
      <c r="AC119" s="443" t="e">
        <f t="shared" si="96"/>
        <v>#DIV/0!</v>
      </c>
      <c r="AD119" s="88"/>
      <c r="AE119" s="97"/>
      <c r="AF119" s="89" t="e">
        <f t="shared" si="82"/>
        <v>#DIV/0!</v>
      </c>
      <c r="AG119" s="88"/>
      <c r="AH119" s="97"/>
      <c r="AI119" s="89" t="e">
        <f t="shared" si="83"/>
        <v>#DIV/0!</v>
      </c>
      <c r="AJ119" s="88"/>
      <c r="AK119" s="97"/>
      <c r="AL119" s="89" t="e">
        <f t="shared" si="84"/>
        <v>#DIV/0!</v>
      </c>
      <c r="AM119" s="200">
        <f>AJ119+AG119+AD119</f>
        <v>0</v>
      </c>
      <c r="AN119" s="200">
        <f>AK119+AH119+AE119</f>
        <v>0</v>
      </c>
      <c r="AO119" s="204" t="e">
        <f t="shared" si="56"/>
        <v>#DIV/0!</v>
      </c>
      <c r="AP119" s="88"/>
      <c r="AQ119" s="97"/>
      <c r="AR119" s="98" t="e">
        <f t="shared" si="85"/>
        <v>#DIV/0!</v>
      </c>
      <c r="AS119" s="88"/>
      <c r="AT119" s="97"/>
      <c r="AU119" s="99" t="e">
        <f t="shared" si="86"/>
        <v>#DIV/0!</v>
      </c>
      <c r="AV119" s="86"/>
      <c r="AW119" s="86"/>
      <c r="AX119" s="100" t="e">
        <f t="shared" si="87"/>
        <v>#DIV/0!</v>
      </c>
      <c r="AY119" s="88">
        <f>AV119+AS119+AP119</f>
        <v>0</v>
      </c>
      <c r="AZ119" s="88">
        <f>AW119+AT119+AQ119</f>
        <v>0</v>
      </c>
      <c r="BA119" s="204" t="e">
        <f t="shared" si="73"/>
        <v>#DIV/0!</v>
      </c>
      <c r="BB119" s="88"/>
      <c r="BC119" s="88"/>
      <c r="BD119" s="100" t="e">
        <f t="shared" si="88"/>
        <v>#DIV/0!</v>
      </c>
      <c r="BE119" s="88"/>
      <c r="BF119" s="88"/>
      <c r="BG119" s="100" t="e">
        <f t="shared" si="89"/>
        <v>#DIV/0!</v>
      </c>
      <c r="BH119" s="88"/>
      <c r="BI119" s="97"/>
      <c r="BJ119" s="99" t="e">
        <f t="shared" si="90"/>
        <v>#DIV/0!</v>
      </c>
      <c r="BK119" s="200">
        <f>BH119+BE119+BB119</f>
        <v>0</v>
      </c>
      <c r="BL119" s="200">
        <f>BI119+BF119+BC119</f>
        <v>0</v>
      </c>
      <c r="BM119" s="204" t="e">
        <f t="shared" si="74"/>
        <v>#DIV/0!</v>
      </c>
      <c r="BN119" s="97">
        <f>I119+L119+O119+AE119+AH119+AK119+AQ119+AT119+AW119+BC119+BF119+BI119</f>
        <v>0</v>
      </c>
      <c r="BO119" s="134">
        <f t="shared" si="91"/>
        <v>0</v>
      </c>
      <c r="BP119" s="197">
        <f t="shared" si="71"/>
        <v>15000</v>
      </c>
    </row>
    <row r="120" spans="1:68" s="78" customFormat="1" ht="13.5" thickBot="1">
      <c r="A120" s="83">
        <v>2</v>
      </c>
      <c r="B120" s="84">
        <v>2</v>
      </c>
      <c r="C120" s="84">
        <v>8</v>
      </c>
      <c r="D120" s="84">
        <v>8</v>
      </c>
      <c r="E120" s="85" t="s">
        <v>151</v>
      </c>
      <c r="F120" s="90" t="s">
        <v>42</v>
      </c>
      <c r="G120" s="88">
        <v>4000</v>
      </c>
      <c r="H120" s="88"/>
      <c r="I120" s="97"/>
      <c r="J120" s="138" t="e">
        <f t="shared" si="78"/>
        <v>#DIV/0!</v>
      </c>
      <c r="K120" s="148"/>
      <c r="L120" s="88"/>
      <c r="M120" s="89" t="e">
        <f t="shared" si="79"/>
        <v>#DIV/0!</v>
      </c>
      <c r="N120" s="88"/>
      <c r="O120" s="88"/>
      <c r="P120" s="89" t="e">
        <f t="shared" si="92"/>
        <v>#DIV/0!</v>
      </c>
      <c r="Q120" s="200">
        <f>N120+K120+H120</f>
        <v>0</v>
      </c>
      <c r="R120" s="200"/>
      <c r="S120" s="200"/>
      <c r="T120" s="200"/>
      <c r="U120" s="200"/>
      <c r="V120" s="200"/>
      <c r="W120" s="200"/>
      <c r="X120" s="214"/>
      <c r="Y120" s="420"/>
      <c r="Z120" s="425"/>
      <c r="AA120" s="425"/>
      <c r="AB120" s="238">
        <f>+I120+L120+O120+S120+T120+U120+V120+W120+X120+Y120+Z120+AA120</f>
        <v>0</v>
      </c>
      <c r="AC120" s="443" t="e">
        <f t="shared" si="96"/>
        <v>#DIV/0!</v>
      </c>
      <c r="AD120" s="88"/>
      <c r="AE120" s="97"/>
      <c r="AF120" s="89" t="e">
        <f t="shared" si="82"/>
        <v>#DIV/0!</v>
      </c>
      <c r="AG120" s="88"/>
      <c r="AH120" s="97"/>
      <c r="AI120" s="89" t="e">
        <f t="shared" si="83"/>
        <v>#DIV/0!</v>
      </c>
      <c r="AJ120" s="88"/>
      <c r="AK120" s="97"/>
      <c r="AL120" s="89" t="e">
        <f t="shared" si="84"/>
        <v>#DIV/0!</v>
      </c>
      <c r="AM120" s="200">
        <f>AJ120+AG120+AD120</f>
        <v>0</v>
      </c>
      <c r="AN120" s="200">
        <f>AK120+AH120+AE120</f>
        <v>0</v>
      </c>
      <c r="AO120" s="204" t="e">
        <f t="shared" si="56"/>
        <v>#DIV/0!</v>
      </c>
      <c r="AP120" s="88"/>
      <c r="AQ120" s="97"/>
      <c r="AR120" s="98" t="e">
        <f t="shared" si="85"/>
        <v>#DIV/0!</v>
      </c>
      <c r="AS120" s="88"/>
      <c r="AT120" s="97"/>
      <c r="AU120" s="99" t="e">
        <f t="shared" si="86"/>
        <v>#DIV/0!</v>
      </c>
      <c r="AV120" s="86"/>
      <c r="AW120" s="86"/>
      <c r="AX120" s="100" t="e">
        <f t="shared" si="87"/>
        <v>#DIV/0!</v>
      </c>
      <c r="AY120" s="88">
        <f>AV120+AS120+AP120</f>
        <v>0</v>
      </c>
      <c r="AZ120" s="88">
        <f>AW120+AT120+AQ120</f>
        <v>0</v>
      </c>
      <c r="BA120" s="204" t="e">
        <f t="shared" si="73"/>
        <v>#DIV/0!</v>
      </c>
      <c r="BB120" s="88"/>
      <c r="BC120" s="88"/>
      <c r="BD120" s="100" t="e">
        <f t="shared" si="88"/>
        <v>#DIV/0!</v>
      </c>
      <c r="BE120" s="88"/>
      <c r="BF120" s="88"/>
      <c r="BG120" s="100" t="e">
        <f t="shared" si="89"/>
        <v>#DIV/0!</v>
      </c>
      <c r="BH120" s="88"/>
      <c r="BI120" s="97"/>
      <c r="BJ120" s="99" t="e">
        <f t="shared" si="90"/>
        <v>#DIV/0!</v>
      </c>
      <c r="BK120" s="200">
        <f>BH120+BE120+BB120</f>
        <v>0</v>
      </c>
      <c r="BL120" s="200">
        <f>BI120+BF120+BC120</f>
        <v>0</v>
      </c>
      <c r="BM120" s="204" t="e">
        <f t="shared" si="74"/>
        <v>#DIV/0!</v>
      </c>
      <c r="BN120" s="97">
        <f>I120+L120+O120+AE120+AH120+AK120+AQ120+AT120+AW120+BC120+BF120+BI120</f>
        <v>0</v>
      </c>
      <c r="BO120" s="134">
        <f t="shared" si="91"/>
        <v>0</v>
      </c>
      <c r="BP120" s="197">
        <f t="shared" si="71"/>
        <v>4000</v>
      </c>
    </row>
    <row r="121" spans="1:68" s="78" customFormat="1" ht="13.5" thickBot="1">
      <c r="A121" s="105"/>
      <c r="B121" s="106"/>
      <c r="C121" s="106"/>
      <c r="D121" s="106"/>
      <c r="E121" s="122"/>
      <c r="F121" s="154"/>
      <c r="G121" s="110"/>
      <c r="H121" s="110"/>
      <c r="I121" s="132"/>
      <c r="J121" s="139"/>
      <c r="K121" s="151"/>
      <c r="L121" s="110"/>
      <c r="M121" s="101"/>
      <c r="N121" s="110"/>
      <c r="O121" s="110"/>
      <c r="P121" s="101"/>
      <c r="Q121" s="209"/>
      <c r="R121" s="209"/>
      <c r="S121" s="209"/>
      <c r="T121" s="209"/>
      <c r="U121" s="209"/>
      <c r="V121" s="209"/>
      <c r="W121" s="209"/>
      <c r="X121" s="209"/>
      <c r="Y121" s="422"/>
      <c r="Z121" s="425"/>
      <c r="AA121" s="425"/>
      <c r="AB121" s="238">
        <f>+I121+L121+O121+S121+T121+U121+V121+W121+X121+Y121</f>
        <v>0</v>
      </c>
      <c r="AC121" s="445"/>
      <c r="AD121" s="110"/>
      <c r="AE121" s="132"/>
      <c r="AF121" s="101"/>
      <c r="AG121" s="110"/>
      <c r="AH121" s="132"/>
      <c r="AI121" s="101"/>
      <c r="AJ121" s="110"/>
      <c r="AK121" s="132"/>
      <c r="AL121" s="101"/>
      <c r="AM121" s="209"/>
      <c r="AN121" s="209"/>
      <c r="AO121" s="210"/>
      <c r="AP121" s="110"/>
      <c r="AQ121" s="132"/>
      <c r="AR121" s="98"/>
      <c r="AS121" s="110"/>
      <c r="AT121" s="132"/>
      <c r="AU121" s="108"/>
      <c r="AV121" s="152"/>
      <c r="AW121" s="152"/>
      <c r="AX121" s="109"/>
      <c r="AY121" s="110"/>
      <c r="AZ121" s="110"/>
      <c r="BA121" s="210"/>
      <c r="BB121" s="110"/>
      <c r="BC121" s="110"/>
      <c r="BD121" s="109"/>
      <c r="BE121" s="110"/>
      <c r="BF121" s="110"/>
      <c r="BG121" s="109"/>
      <c r="BH121" s="110"/>
      <c r="BI121" s="132"/>
      <c r="BJ121" s="108"/>
      <c r="BK121" s="209"/>
      <c r="BL121" s="209"/>
      <c r="BM121" s="210"/>
      <c r="BN121" s="132"/>
      <c r="BO121" s="135"/>
      <c r="BP121" s="197">
        <f t="shared" si="71"/>
        <v>0</v>
      </c>
    </row>
    <row r="122" spans="1:68" ht="13.5" thickBot="1">
      <c r="A122" s="192">
        <v>2</v>
      </c>
      <c r="B122" s="193">
        <v>3</v>
      </c>
      <c r="C122" s="193"/>
      <c r="D122" s="193"/>
      <c r="E122" s="194"/>
      <c r="F122" s="211" t="s">
        <v>228</v>
      </c>
      <c r="G122" s="182">
        <f>G124+G132+G136+G142+G145+G150+G154+G164</f>
        <v>4245856</v>
      </c>
      <c r="H122" s="182">
        <f>H124+H132+H136+H142+H145+H150+H154+H164</f>
        <v>0</v>
      </c>
      <c r="I122" s="180">
        <f>I124+I132+I136+I142+I145+I150+I154+I164</f>
        <v>160000</v>
      </c>
      <c r="J122" s="196" t="e">
        <f t="shared" si="78"/>
        <v>#DIV/0!</v>
      </c>
      <c r="K122" s="197">
        <f>K124+K132+K136+K142+K145+K150+K154+K164</f>
        <v>0</v>
      </c>
      <c r="L122" s="182">
        <f>L124+L132+L136+L142+L145+L150+L154+L164</f>
        <v>239945.2</v>
      </c>
      <c r="M122" s="178" t="e">
        <f t="shared" si="79"/>
        <v>#DIV/0!</v>
      </c>
      <c r="N122" s="182">
        <f aca="true" t="shared" si="109" ref="N122:AA122">N124+N132+N136+N142+N145+N150+N154+N164</f>
        <v>0</v>
      </c>
      <c r="O122" s="182">
        <f t="shared" si="109"/>
        <v>362615.39</v>
      </c>
      <c r="P122" s="182" t="e">
        <f t="shared" si="109"/>
        <v>#DIV/0!</v>
      </c>
      <c r="Q122" s="182">
        <f t="shared" si="109"/>
        <v>0</v>
      </c>
      <c r="R122" s="182">
        <f t="shared" si="109"/>
        <v>0</v>
      </c>
      <c r="S122" s="182">
        <f t="shared" si="109"/>
        <v>222381.80000000002</v>
      </c>
      <c r="T122" s="182">
        <f t="shared" si="109"/>
        <v>373889.66</v>
      </c>
      <c r="U122" s="182">
        <f t="shared" si="109"/>
        <v>229596.37</v>
      </c>
      <c r="V122" s="182">
        <f t="shared" si="109"/>
        <v>320237.18000000005</v>
      </c>
      <c r="W122" s="182">
        <f t="shared" si="109"/>
        <v>484968.68</v>
      </c>
      <c r="X122" s="182">
        <f>X124+X132+X136+X142+X145+X150+X154+X164</f>
        <v>267385.4</v>
      </c>
      <c r="Y122" s="182">
        <f t="shared" si="109"/>
        <v>0</v>
      </c>
      <c r="Z122" s="182">
        <f t="shared" si="109"/>
        <v>0</v>
      </c>
      <c r="AA122" s="180">
        <f t="shared" si="109"/>
        <v>0</v>
      </c>
      <c r="AB122" s="232">
        <f>AB124+AB132+AB136+AB142+AB145+AB150+AB154+AB164+AB128</f>
        <v>2675297.68</v>
      </c>
      <c r="AC122" s="197" t="e">
        <f aca="true" t="shared" si="110" ref="AC122:BN122">AC124+AC132+AC136+AC142+AC145+AC150+AC154+AC164</f>
        <v>#DIV/0!</v>
      </c>
      <c r="AD122" s="182">
        <f t="shared" si="110"/>
        <v>0</v>
      </c>
      <c r="AE122" s="182">
        <f t="shared" si="110"/>
        <v>0</v>
      </c>
      <c r="AF122" s="182" t="e">
        <f t="shared" si="110"/>
        <v>#DIV/0!</v>
      </c>
      <c r="AG122" s="182">
        <f t="shared" si="110"/>
        <v>0</v>
      </c>
      <c r="AH122" s="182">
        <f t="shared" si="110"/>
        <v>0</v>
      </c>
      <c r="AI122" s="182" t="e">
        <f t="shared" si="110"/>
        <v>#DIV/0!</v>
      </c>
      <c r="AJ122" s="182">
        <f t="shared" si="110"/>
        <v>0</v>
      </c>
      <c r="AK122" s="182">
        <f t="shared" si="110"/>
        <v>0</v>
      </c>
      <c r="AL122" s="182" t="e">
        <f t="shared" si="110"/>
        <v>#DIV/0!</v>
      </c>
      <c r="AM122" s="182">
        <f t="shared" si="110"/>
        <v>0</v>
      </c>
      <c r="AN122" s="182">
        <f t="shared" si="110"/>
        <v>0</v>
      </c>
      <c r="AO122" s="182" t="e">
        <f t="shared" si="110"/>
        <v>#DIV/0!</v>
      </c>
      <c r="AP122" s="182">
        <f t="shared" si="110"/>
        <v>0</v>
      </c>
      <c r="AQ122" s="182">
        <f t="shared" si="110"/>
        <v>0</v>
      </c>
      <c r="AR122" s="182" t="e">
        <f t="shared" si="110"/>
        <v>#DIV/0!</v>
      </c>
      <c r="AS122" s="182">
        <f t="shared" si="110"/>
        <v>0</v>
      </c>
      <c r="AT122" s="182">
        <f t="shared" si="110"/>
        <v>0</v>
      </c>
      <c r="AU122" s="182" t="e">
        <f t="shared" si="110"/>
        <v>#DIV/0!</v>
      </c>
      <c r="AV122" s="182">
        <f t="shared" si="110"/>
        <v>0</v>
      </c>
      <c r="AW122" s="182">
        <f t="shared" si="110"/>
        <v>0</v>
      </c>
      <c r="AX122" s="182" t="e">
        <f t="shared" si="110"/>
        <v>#DIV/0!</v>
      </c>
      <c r="AY122" s="182">
        <f t="shared" si="110"/>
        <v>0</v>
      </c>
      <c r="AZ122" s="182">
        <f t="shared" si="110"/>
        <v>0</v>
      </c>
      <c r="BA122" s="182" t="e">
        <f t="shared" si="110"/>
        <v>#DIV/0!</v>
      </c>
      <c r="BB122" s="182">
        <f t="shared" si="110"/>
        <v>0</v>
      </c>
      <c r="BC122" s="182">
        <f t="shared" si="110"/>
        <v>0</v>
      </c>
      <c r="BD122" s="182" t="e">
        <f t="shared" si="110"/>
        <v>#DIV/0!</v>
      </c>
      <c r="BE122" s="182">
        <f t="shared" si="110"/>
        <v>0</v>
      </c>
      <c r="BF122" s="182">
        <f t="shared" si="110"/>
        <v>0</v>
      </c>
      <c r="BG122" s="182" t="e">
        <f t="shared" si="110"/>
        <v>#DIV/0!</v>
      </c>
      <c r="BH122" s="182">
        <f t="shared" si="110"/>
        <v>0</v>
      </c>
      <c r="BI122" s="182">
        <f t="shared" si="110"/>
        <v>0</v>
      </c>
      <c r="BJ122" s="182" t="e">
        <f t="shared" si="110"/>
        <v>#DIV/0!</v>
      </c>
      <c r="BK122" s="182">
        <f t="shared" si="110"/>
        <v>0</v>
      </c>
      <c r="BL122" s="182">
        <f t="shared" si="110"/>
        <v>0</v>
      </c>
      <c r="BM122" s="182" t="e">
        <f t="shared" si="110"/>
        <v>#DIV/0!</v>
      </c>
      <c r="BN122" s="182">
        <f t="shared" si="110"/>
        <v>508033.98</v>
      </c>
      <c r="BO122" s="178">
        <f t="shared" si="91"/>
        <v>0.11965407682220028</v>
      </c>
      <c r="BP122" s="197">
        <f t="shared" si="71"/>
        <v>1570558.3199999998</v>
      </c>
    </row>
    <row r="123" spans="1:68" s="78" customFormat="1" ht="13.5" thickBot="1">
      <c r="A123" s="129"/>
      <c r="B123" s="127"/>
      <c r="C123" s="127"/>
      <c r="D123" s="127"/>
      <c r="E123" s="128"/>
      <c r="F123" s="130"/>
      <c r="G123" s="81"/>
      <c r="H123" s="81"/>
      <c r="I123" s="111"/>
      <c r="J123" s="112"/>
      <c r="K123" s="113"/>
      <c r="L123" s="114"/>
      <c r="M123" s="115"/>
      <c r="N123" s="114"/>
      <c r="O123" s="114"/>
      <c r="P123" s="115"/>
      <c r="Q123" s="214"/>
      <c r="R123" s="214"/>
      <c r="S123" s="214"/>
      <c r="T123" s="214"/>
      <c r="U123" s="214"/>
      <c r="V123" s="214"/>
      <c r="W123" s="214"/>
      <c r="X123" s="214"/>
      <c r="Y123" s="214"/>
      <c r="Z123" s="430"/>
      <c r="AA123" s="425"/>
      <c r="AB123" s="232">
        <f>+I123+L123+O123+S123+T123+U123+V123+W123+X123+Y123</f>
        <v>0</v>
      </c>
      <c r="AC123" s="442"/>
      <c r="AD123" s="81"/>
      <c r="AE123" s="111"/>
      <c r="AF123" s="115"/>
      <c r="AG123" s="81"/>
      <c r="AH123" s="111"/>
      <c r="AI123" s="115"/>
      <c r="AJ123" s="81"/>
      <c r="AK123" s="111"/>
      <c r="AL123" s="115"/>
      <c r="AM123" s="214"/>
      <c r="AN123" s="214"/>
      <c r="AO123" s="201"/>
      <c r="AP123" s="81"/>
      <c r="AQ123" s="111"/>
      <c r="AR123" s="117"/>
      <c r="AS123" s="81"/>
      <c r="AT123" s="111"/>
      <c r="AU123" s="118"/>
      <c r="AV123" s="116"/>
      <c r="AW123" s="116"/>
      <c r="AX123" s="81"/>
      <c r="AY123" s="114"/>
      <c r="AZ123" s="114"/>
      <c r="BA123" s="201"/>
      <c r="BB123" s="114"/>
      <c r="BC123" s="114"/>
      <c r="BD123" s="81"/>
      <c r="BE123" s="114"/>
      <c r="BF123" s="114"/>
      <c r="BG123" s="81"/>
      <c r="BH123" s="114"/>
      <c r="BI123" s="111"/>
      <c r="BJ123" s="118"/>
      <c r="BK123" s="214"/>
      <c r="BL123" s="214"/>
      <c r="BM123" s="201"/>
      <c r="BN123" s="118"/>
      <c r="BO123" s="119"/>
      <c r="BP123" s="197">
        <f t="shared" si="71"/>
        <v>0</v>
      </c>
    </row>
    <row r="124" spans="1:68" s="76" customFormat="1" ht="13.5" thickBot="1">
      <c r="A124" s="102">
        <v>2</v>
      </c>
      <c r="B124" s="103">
        <v>3</v>
      </c>
      <c r="C124" s="103">
        <v>1</v>
      </c>
      <c r="D124" s="84"/>
      <c r="E124" s="104"/>
      <c r="F124" s="155" t="s">
        <v>3</v>
      </c>
      <c r="G124" s="82">
        <f>G125+G128</f>
        <v>311856</v>
      </c>
      <c r="H124" s="82">
        <f>H125+H128</f>
        <v>0</v>
      </c>
      <c r="I124" s="131">
        <f>I125+I128</f>
        <v>0</v>
      </c>
      <c r="J124" s="138" t="e">
        <f t="shared" si="78"/>
        <v>#DIV/0!</v>
      </c>
      <c r="K124" s="203">
        <f>K125+K128</f>
        <v>0</v>
      </c>
      <c r="L124" s="82">
        <f>L125+L128</f>
        <v>46415.5</v>
      </c>
      <c r="M124" s="89" t="e">
        <f t="shared" si="79"/>
        <v>#DIV/0!</v>
      </c>
      <c r="N124" s="82">
        <f>N125+N128</f>
        <v>0</v>
      </c>
      <c r="O124" s="82">
        <f>O125+O128</f>
        <v>27413.760000000002</v>
      </c>
      <c r="P124" s="82" t="e">
        <f aca="true" t="shared" si="111" ref="P124:X124">P125+P128</f>
        <v>#DIV/0!</v>
      </c>
      <c r="Q124" s="82">
        <f t="shared" si="111"/>
        <v>0</v>
      </c>
      <c r="R124" s="82">
        <f t="shared" si="111"/>
        <v>0</v>
      </c>
      <c r="S124" s="82">
        <f t="shared" si="111"/>
        <v>15721.32</v>
      </c>
      <c r="T124" s="82">
        <f t="shared" si="111"/>
        <v>5221.5</v>
      </c>
      <c r="U124" s="82">
        <f t="shared" si="111"/>
        <v>11960.21</v>
      </c>
      <c r="V124" s="82">
        <f t="shared" si="111"/>
        <v>24839</v>
      </c>
      <c r="W124" s="82">
        <f t="shared" si="111"/>
        <v>48333.1</v>
      </c>
      <c r="X124" s="82">
        <f t="shared" si="111"/>
        <v>0</v>
      </c>
      <c r="Y124" s="131">
        <f>Y125+Y128</f>
        <v>0</v>
      </c>
      <c r="Z124" s="131">
        <f>Z125+Z128</f>
        <v>0</v>
      </c>
      <c r="AA124" s="131">
        <f>AA125+AA128</f>
        <v>0</v>
      </c>
      <c r="AB124" s="232">
        <f>+AB125+AB128</f>
        <v>179904.39</v>
      </c>
      <c r="AC124" s="443" t="e">
        <f t="shared" si="96"/>
        <v>#DIV/0!</v>
      </c>
      <c r="AD124" s="82">
        <f>AD125+AD128</f>
        <v>0</v>
      </c>
      <c r="AE124" s="131">
        <f>AE125+AE128</f>
        <v>0</v>
      </c>
      <c r="AF124" s="89" t="e">
        <f t="shared" si="82"/>
        <v>#DIV/0!</v>
      </c>
      <c r="AG124" s="82">
        <f>AG125+AG128</f>
        <v>0</v>
      </c>
      <c r="AH124" s="131">
        <f>AH125+AH128</f>
        <v>0</v>
      </c>
      <c r="AI124" s="89" t="e">
        <f t="shared" si="83"/>
        <v>#DIV/0!</v>
      </c>
      <c r="AJ124" s="82">
        <f>AJ125+AJ128</f>
        <v>0</v>
      </c>
      <c r="AK124" s="131">
        <f>AK125+AK128</f>
        <v>0</v>
      </c>
      <c r="AL124" s="89" t="e">
        <f t="shared" si="84"/>
        <v>#DIV/0!</v>
      </c>
      <c r="AM124" s="82">
        <f>AM125+AM128</f>
        <v>0</v>
      </c>
      <c r="AN124" s="82">
        <f>AN125+AN128</f>
        <v>0</v>
      </c>
      <c r="AO124" s="204" t="e">
        <f aca="true" t="shared" si="112" ref="AO124:AO194">AN124/AM124</f>
        <v>#DIV/0!</v>
      </c>
      <c r="AP124" s="82">
        <f>AP125+AP128</f>
        <v>0</v>
      </c>
      <c r="AQ124" s="131">
        <f>AQ125+AQ128</f>
        <v>0</v>
      </c>
      <c r="AR124" s="98" t="e">
        <f t="shared" si="85"/>
        <v>#DIV/0!</v>
      </c>
      <c r="AS124" s="82">
        <f>AS125+AS128</f>
        <v>0</v>
      </c>
      <c r="AT124" s="131">
        <f>AT125+AT128</f>
        <v>0</v>
      </c>
      <c r="AU124" s="99" t="e">
        <f t="shared" si="86"/>
        <v>#DIV/0!</v>
      </c>
      <c r="AV124" s="82">
        <f>AV125+AV128</f>
        <v>0</v>
      </c>
      <c r="AW124" s="82">
        <f>AW125+AW128</f>
        <v>0</v>
      </c>
      <c r="AX124" s="100" t="e">
        <f t="shared" si="87"/>
        <v>#DIV/0!</v>
      </c>
      <c r="AY124" s="82">
        <f>AY125+AY128</f>
        <v>0</v>
      </c>
      <c r="AZ124" s="82">
        <f>AZ125+AZ128</f>
        <v>0</v>
      </c>
      <c r="BA124" s="204" t="e">
        <f t="shared" si="73"/>
        <v>#DIV/0!</v>
      </c>
      <c r="BB124" s="82"/>
      <c r="BC124" s="82"/>
      <c r="BD124" s="100" t="e">
        <f t="shared" si="88"/>
        <v>#DIV/0!</v>
      </c>
      <c r="BE124" s="82"/>
      <c r="BF124" s="82"/>
      <c r="BG124" s="100" t="e">
        <f t="shared" si="89"/>
        <v>#DIV/0!</v>
      </c>
      <c r="BH124" s="82">
        <f>BH125+BH128</f>
        <v>0</v>
      </c>
      <c r="BI124" s="131">
        <f>BI125+BI128</f>
        <v>0</v>
      </c>
      <c r="BJ124" s="99" t="e">
        <f t="shared" si="90"/>
        <v>#DIV/0!</v>
      </c>
      <c r="BK124" s="82">
        <f>BK125+BK128</f>
        <v>0</v>
      </c>
      <c r="BL124" s="82">
        <f>BL125+BL128</f>
        <v>0</v>
      </c>
      <c r="BM124" s="204" t="e">
        <f t="shared" si="74"/>
        <v>#DIV/0!</v>
      </c>
      <c r="BN124" s="131">
        <f>BN125+BN128</f>
        <v>73829.26000000001</v>
      </c>
      <c r="BO124" s="134">
        <f t="shared" si="91"/>
        <v>0.23674150890154433</v>
      </c>
      <c r="BP124" s="197">
        <f t="shared" si="71"/>
        <v>131951.61</v>
      </c>
    </row>
    <row r="125" spans="1:68" ht="13.5" thickBot="1">
      <c r="A125" s="102">
        <v>2</v>
      </c>
      <c r="B125" s="103">
        <v>3</v>
      </c>
      <c r="C125" s="103">
        <v>1</v>
      </c>
      <c r="D125" s="103">
        <v>1</v>
      </c>
      <c r="E125" s="202"/>
      <c r="F125" s="155" t="s">
        <v>6</v>
      </c>
      <c r="G125" s="82">
        <f>G126</f>
        <v>299256</v>
      </c>
      <c r="H125" s="82">
        <f>H126</f>
        <v>0</v>
      </c>
      <c r="I125" s="131">
        <f>I126</f>
        <v>0</v>
      </c>
      <c r="J125" s="138" t="e">
        <f t="shared" si="78"/>
        <v>#DIV/0!</v>
      </c>
      <c r="K125" s="203">
        <f>K126</f>
        <v>0</v>
      </c>
      <c r="L125" s="82">
        <f>L126</f>
        <v>44055.5</v>
      </c>
      <c r="M125" s="89" t="e">
        <f t="shared" si="79"/>
        <v>#DIV/0!</v>
      </c>
      <c r="N125" s="82">
        <f>N126</f>
        <v>0</v>
      </c>
      <c r="O125" s="82">
        <f>O126</f>
        <v>27413.760000000002</v>
      </c>
      <c r="P125" s="82" t="e">
        <f aca="true" t="shared" si="113" ref="P125:Z125">P126</f>
        <v>#DIV/0!</v>
      </c>
      <c r="Q125" s="82">
        <f t="shared" si="113"/>
        <v>0</v>
      </c>
      <c r="R125" s="82">
        <f t="shared" si="113"/>
        <v>0</v>
      </c>
      <c r="S125" s="82">
        <f t="shared" si="113"/>
        <v>15721.32</v>
      </c>
      <c r="T125" s="82">
        <f t="shared" si="113"/>
        <v>5221.5</v>
      </c>
      <c r="U125" s="82">
        <f t="shared" si="113"/>
        <v>11960.21</v>
      </c>
      <c r="V125" s="82">
        <f t="shared" si="113"/>
        <v>12921</v>
      </c>
      <c r="W125" s="88">
        <f t="shared" si="113"/>
        <v>48333.1</v>
      </c>
      <c r="X125" s="88">
        <f t="shared" si="113"/>
        <v>0</v>
      </c>
      <c r="Y125" s="97">
        <f t="shared" si="113"/>
        <v>0</v>
      </c>
      <c r="Z125" s="97">
        <f t="shared" si="113"/>
        <v>0</v>
      </c>
      <c r="AA125" s="97">
        <f>AA126</f>
        <v>0</v>
      </c>
      <c r="AB125" s="232">
        <f>+AB126</f>
        <v>165626.39</v>
      </c>
      <c r="AC125" s="443" t="e">
        <f t="shared" si="96"/>
        <v>#DIV/0!</v>
      </c>
      <c r="AD125" s="82">
        <f>AD126</f>
        <v>0</v>
      </c>
      <c r="AE125" s="131">
        <f>AE126</f>
        <v>0</v>
      </c>
      <c r="AF125" s="89" t="e">
        <f t="shared" si="82"/>
        <v>#DIV/0!</v>
      </c>
      <c r="AG125" s="82">
        <f>AG126</f>
        <v>0</v>
      </c>
      <c r="AH125" s="131">
        <f>AH126</f>
        <v>0</v>
      </c>
      <c r="AI125" s="89" t="e">
        <f t="shared" si="83"/>
        <v>#DIV/0!</v>
      </c>
      <c r="AJ125" s="82">
        <f>AJ126</f>
        <v>0</v>
      </c>
      <c r="AK125" s="131">
        <f>AK126</f>
        <v>0</v>
      </c>
      <c r="AL125" s="89" t="e">
        <f t="shared" si="84"/>
        <v>#DIV/0!</v>
      </c>
      <c r="AM125" s="82">
        <f>AM126</f>
        <v>0</v>
      </c>
      <c r="AN125" s="82">
        <f>AN126</f>
        <v>0</v>
      </c>
      <c r="AO125" s="204" t="e">
        <f t="shared" si="112"/>
        <v>#DIV/0!</v>
      </c>
      <c r="AP125" s="82">
        <f>AP126</f>
        <v>0</v>
      </c>
      <c r="AQ125" s="131">
        <f>AQ126</f>
        <v>0</v>
      </c>
      <c r="AR125" s="98" t="e">
        <f t="shared" si="85"/>
        <v>#DIV/0!</v>
      </c>
      <c r="AS125" s="82">
        <f>AS126</f>
        <v>0</v>
      </c>
      <c r="AT125" s="131">
        <f>AT126</f>
        <v>0</v>
      </c>
      <c r="AU125" s="99" t="e">
        <f t="shared" si="86"/>
        <v>#DIV/0!</v>
      </c>
      <c r="AV125" s="82">
        <f>AV126</f>
        <v>0</v>
      </c>
      <c r="AW125" s="82">
        <f>AW126</f>
        <v>0</v>
      </c>
      <c r="AX125" s="100" t="e">
        <f t="shared" si="87"/>
        <v>#DIV/0!</v>
      </c>
      <c r="AY125" s="82">
        <f>AY126</f>
        <v>0</v>
      </c>
      <c r="AZ125" s="82">
        <f>AZ126</f>
        <v>0</v>
      </c>
      <c r="BA125" s="204" t="e">
        <f t="shared" si="73"/>
        <v>#DIV/0!</v>
      </c>
      <c r="BB125" s="82"/>
      <c r="BC125" s="82"/>
      <c r="BD125" s="100" t="e">
        <f t="shared" si="88"/>
        <v>#DIV/0!</v>
      </c>
      <c r="BE125" s="82"/>
      <c r="BF125" s="82"/>
      <c r="BG125" s="100" t="e">
        <f t="shared" si="89"/>
        <v>#DIV/0!</v>
      </c>
      <c r="BH125" s="82">
        <f>BH126</f>
        <v>0</v>
      </c>
      <c r="BI125" s="131">
        <f>BI126</f>
        <v>0</v>
      </c>
      <c r="BJ125" s="99" t="e">
        <f t="shared" si="90"/>
        <v>#DIV/0!</v>
      </c>
      <c r="BK125" s="82">
        <f>BK126</f>
        <v>0</v>
      </c>
      <c r="BL125" s="82">
        <f>BL126</f>
        <v>0</v>
      </c>
      <c r="BM125" s="204" t="e">
        <f t="shared" si="74"/>
        <v>#DIV/0!</v>
      </c>
      <c r="BN125" s="131">
        <f>BN126</f>
        <v>71469.26000000001</v>
      </c>
      <c r="BO125" s="134">
        <f t="shared" si="91"/>
        <v>0.23882314807388993</v>
      </c>
      <c r="BP125" s="197">
        <f t="shared" si="71"/>
        <v>133629.61</v>
      </c>
    </row>
    <row r="126" spans="1:68" s="78" customFormat="1" ht="13.5" thickBot="1">
      <c r="A126" s="83">
        <v>2</v>
      </c>
      <c r="B126" s="84">
        <v>3</v>
      </c>
      <c r="C126" s="84">
        <v>1</v>
      </c>
      <c r="D126" s="84">
        <v>1</v>
      </c>
      <c r="E126" s="85" t="s">
        <v>149</v>
      </c>
      <c r="F126" s="90" t="s">
        <v>6</v>
      </c>
      <c r="G126" s="88">
        <f>300356-1100</f>
        <v>299256</v>
      </c>
      <c r="H126" s="88"/>
      <c r="I126" s="97"/>
      <c r="J126" s="137" t="e">
        <f t="shared" si="78"/>
        <v>#DIV/0!</v>
      </c>
      <c r="K126" s="148"/>
      <c r="L126" s="88">
        <f>37760+6295.5</f>
        <v>44055.5</v>
      </c>
      <c r="M126" s="89" t="e">
        <f t="shared" si="79"/>
        <v>#DIV/0!</v>
      </c>
      <c r="N126" s="88"/>
      <c r="O126" s="88">
        <f>18762+8651.76</f>
        <v>27413.760000000002</v>
      </c>
      <c r="P126" s="89" t="e">
        <f t="shared" si="92"/>
        <v>#DIV/0!</v>
      </c>
      <c r="Q126" s="200"/>
      <c r="R126" s="200"/>
      <c r="S126" s="200">
        <f>7734.9+7986.42</f>
        <v>15721.32</v>
      </c>
      <c r="T126" s="200">
        <v>5221.5</v>
      </c>
      <c r="U126" s="200">
        <v>11960.21</v>
      </c>
      <c r="V126" s="200">
        <v>12921</v>
      </c>
      <c r="W126" s="200">
        <f>35577+12756.1</f>
        <v>48333.1</v>
      </c>
      <c r="X126" s="200">
        <v>0</v>
      </c>
      <c r="Y126" s="421">
        <v>0</v>
      </c>
      <c r="Z126" s="425">
        <v>0</v>
      </c>
      <c r="AA126" s="425">
        <v>0</v>
      </c>
      <c r="AB126" s="238">
        <f>+I126+L126+O126+S126+T126+U126+V126+W126+X126+Y126+Z126+AA126</f>
        <v>165626.39</v>
      </c>
      <c r="AC126" s="443" t="e">
        <f t="shared" si="96"/>
        <v>#DIV/0!</v>
      </c>
      <c r="AD126" s="88"/>
      <c r="AE126" s="97"/>
      <c r="AF126" s="89" t="e">
        <f t="shared" si="82"/>
        <v>#DIV/0!</v>
      </c>
      <c r="AG126" s="88"/>
      <c r="AH126" s="97"/>
      <c r="AI126" s="89" t="e">
        <f t="shared" si="83"/>
        <v>#DIV/0!</v>
      </c>
      <c r="AJ126" s="88"/>
      <c r="AK126" s="97"/>
      <c r="AL126" s="89" t="e">
        <f t="shared" si="84"/>
        <v>#DIV/0!</v>
      </c>
      <c r="AM126" s="200">
        <f>AJ126+AG126+AD126</f>
        <v>0</v>
      </c>
      <c r="AN126" s="200">
        <f>AK126+AH126+AE126</f>
        <v>0</v>
      </c>
      <c r="AO126" s="204" t="e">
        <f t="shared" si="112"/>
        <v>#DIV/0!</v>
      </c>
      <c r="AP126" s="88"/>
      <c r="AQ126" s="97"/>
      <c r="AR126" s="98" t="e">
        <f t="shared" si="85"/>
        <v>#DIV/0!</v>
      </c>
      <c r="AS126" s="88"/>
      <c r="AT126" s="97"/>
      <c r="AU126" s="99" t="e">
        <f t="shared" si="86"/>
        <v>#DIV/0!</v>
      </c>
      <c r="AV126" s="86"/>
      <c r="AW126" s="86"/>
      <c r="AX126" s="100" t="e">
        <f t="shared" si="87"/>
        <v>#DIV/0!</v>
      </c>
      <c r="AY126" s="88"/>
      <c r="AZ126" s="88"/>
      <c r="BA126" s="204" t="e">
        <f t="shared" si="73"/>
        <v>#DIV/0!</v>
      </c>
      <c r="BB126" s="88"/>
      <c r="BC126" s="88"/>
      <c r="BD126" s="100" t="e">
        <f t="shared" si="88"/>
        <v>#DIV/0!</v>
      </c>
      <c r="BE126" s="88"/>
      <c r="BF126" s="88"/>
      <c r="BG126" s="100" t="e">
        <f t="shared" si="89"/>
        <v>#DIV/0!</v>
      </c>
      <c r="BH126" s="88"/>
      <c r="BI126" s="97"/>
      <c r="BJ126" s="99" t="e">
        <f t="shared" si="90"/>
        <v>#DIV/0!</v>
      </c>
      <c r="BK126" s="200"/>
      <c r="BL126" s="200"/>
      <c r="BM126" s="204" t="e">
        <f t="shared" si="74"/>
        <v>#DIV/0!</v>
      </c>
      <c r="BN126" s="97">
        <f>I126+L126+O126+AE126+AH126+AK126+AQ126+AT126+AW126+BC126+BF126+BI126</f>
        <v>71469.26000000001</v>
      </c>
      <c r="BO126" s="134">
        <f t="shared" si="91"/>
        <v>0.23882314807388993</v>
      </c>
      <c r="BP126" s="197">
        <f t="shared" si="71"/>
        <v>133629.61</v>
      </c>
    </row>
    <row r="127" spans="1:68" s="78" customFormat="1" ht="13.5" thickBot="1">
      <c r="A127" s="83"/>
      <c r="B127" s="84"/>
      <c r="C127" s="84"/>
      <c r="D127" s="84"/>
      <c r="E127" s="104"/>
      <c r="F127" s="90"/>
      <c r="G127" s="88"/>
      <c r="H127" s="88"/>
      <c r="I127" s="97"/>
      <c r="J127" s="138"/>
      <c r="K127" s="148"/>
      <c r="L127" s="88"/>
      <c r="M127" s="89"/>
      <c r="N127" s="88"/>
      <c r="O127" s="88"/>
      <c r="P127" s="89"/>
      <c r="Q127" s="200"/>
      <c r="R127" s="200"/>
      <c r="S127" s="200"/>
      <c r="T127" s="200"/>
      <c r="U127" s="200"/>
      <c r="V127" s="200"/>
      <c r="W127" s="200"/>
      <c r="X127" s="200"/>
      <c r="Y127" s="421"/>
      <c r="Z127" s="425"/>
      <c r="AA127" s="425"/>
      <c r="AB127" s="238"/>
      <c r="AC127" s="443"/>
      <c r="AD127" s="88"/>
      <c r="AE127" s="97"/>
      <c r="AF127" s="89"/>
      <c r="AG127" s="88"/>
      <c r="AH127" s="97"/>
      <c r="AI127" s="89"/>
      <c r="AJ127" s="88"/>
      <c r="AK127" s="97"/>
      <c r="AL127" s="89"/>
      <c r="AM127" s="200"/>
      <c r="AN127" s="200"/>
      <c r="AO127" s="204"/>
      <c r="AP127" s="88"/>
      <c r="AQ127" s="97"/>
      <c r="AR127" s="98"/>
      <c r="AS127" s="88"/>
      <c r="AT127" s="97"/>
      <c r="AU127" s="99"/>
      <c r="AV127" s="86"/>
      <c r="AW127" s="86"/>
      <c r="AX127" s="100"/>
      <c r="AY127" s="88"/>
      <c r="AZ127" s="88"/>
      <c r="BA127" s="204"/>
      <c r="BB127" s="88"/>
      <c r="BC127" s="88"/>
      <c r="BD127" s="100"/>
      <c r="BE127" s="88"/>
      <c r="BF127" s="88"/>
      <c r="BG127" s="100"/>
      <c r="BH127" s="88"/>
      <c r="BI127" s="97"/>
      <c r="BJ127" s="99"/>
      <c r="BK127" s="200"/>
      <c r="BL127" s="200"/>
      <c r="BM127" s="204"/>
      <c r="BN127" s="97"/>
      <c r="BO127" s="134"/>
      <c r="BP127" s="197">
        <f t="shared" si="71"/>
        <v>0</v>
      </c>
    </row>
    <row r="128" spans="1:68" ht="13.5" thickBot="1">
      <c r="A128" s="102">
        <v>2</v>
      </c>
      <c r="B128" s="103">
        <v>3</v>
      </c>
      <c r="C128" s="103">
        <v>1</v>
      </c>
      <c r="D128" s="103">
        <v>3</v>
      </c>
      <c r="E128" s="202"/>
      <c r="F128" s="155" t="s">
        <v>12</v>
      </c>
      <c r="G128" s="82">
        <f>+G129+G130</f>
        <v>12600</v>
      </c>
      <c r="H128" s="82">
        <f aca="true" t="shared" si="114" ref="H128:V128">+H129+H130</f>
        <v>0</v>
      </c>
      <c r="I128" s="82">
        <f t="shared" si="114"/>
        <v>0</v>
      </c>
      <c r="J128" s="82" t="e">
        <f t="shared" si="114"/>
        <v>#DIV/0!</v>
      </c>
      <c r="K128" s="82">
        <f t="shared" si="114"/>
        <v>0</v>
      </c>
      <c r="L128" s="82">
        <f t="shared" si="114"/>
        <v>2360</v>
      </c>
      <c r="M128" s="82" t="e">
        <f t="shared" si="114"/>
        <v>#DIV/0!</v>
      </c>
      <c r="N128" s="82">
        <f t="shared" si="114"/>
        <v>0</v>
      </c>
      <c r="O128" s="82">
        <f t="shared" si="114"/>
        <v>0</v>
      </c>
      <c r="P128" s="82" t="e">
        <f t="shared" si="114"/>
        <v>#DIV/0!</v>
      </c>
      <c r="Q128" s="82">
        <f t="shared" si="114"/>
        <v>0</v>
      </c>
      <c r="R128" s="82">
        <f t="shared" si="114"/>
        <v>0</v>
      </c>
      <c r="S128" s="82">
        <f t="shared" si="114"/>
        <v>0</v>
      </c>
      <c r="T128" s="82">
        <f t="shared" si="114"/>
        <v>0</v>
      </c>
      <c r="U128" s="82">
        <f t="shared" si="114"/>
        <v>0</v>
      </c>
      <c r="V128" s="82">
        <f t="shared" si="114"/>
        <v>11918</v>
      </c>
      <c r="W128" s="82"/>
      <c r="X128" s="82"/>
      <c r="Y128" s="131">
        <f>+Y130</f>
        <v>0</v>
      </c>
      <c r="Z128" s="426"/>
      <c r="AA128" s="426"/>
      <c r="AB128" s="232">
        <f>+AB129+AB130</f>
        <v>14278</v>
      </c>
      <c r="AC128" s="443" t="e">
        <f t="shared" si="96"/>
        <v>#DIV/0!</v>
      </c>
      <c r="AD128" s="82">
        <f>AD130</f>
        <v>0</v>
      </c>
      <c r="AE128" s="131">
        <f>AE130</f>
        <v>0</v>
      </c>
      <c r="AF128" s="89" t="e">
        <f t="shared" si="82"/>
        <v>#DIV/0!</v>
      </c>
      <c r="AG128" s="82">
        <f>AG130</f>
        <v>0</v>
      </c>
      <c r="AH128" s="131">
        <f>AH130</f>
        <v>0</v>
      </c>
      <c r="AI128" s="89" t="e">
        <f t="shared" si="83"/>
        <v>#DIV/0!</v>
      </c>
      <c r="AJ128" s="82">
        <f>AJ130</f>
        <v>0</v>
      </c>
      <c r="AK128" s="131">
        <f>AK130</f>
        <v>0</v>
      </c>
      <c r="AL128" s="89" t="e">
        <f t="shared" si="84"/>
        <v>#DIV/0!</v>
      </c>
      <c r="AM128" s="82">
        <f>AM130</f>
        <v>0</v>
      </c>
      <c r="AN128" s="82">
        <f>AN130</f>
        <v>0</v>
      </c>
      <c r="AO128" s="204" t="e">
        <f t="shared" si="112"/>
        <v>#DIV/0!</v>
      </c>
      <c r="AP128" s="82">
        <f>AP130</f>
        <v>0</v>
      </c>
      <c r="AQ128" s="131">
        <f>AQ130</f>
        <v>0</v>
      </c>
      <c r="AR128" s="98" t="e">
        <f t="shared" si="85"/>
        <v>#DIV/0!</v>
      </c>
      <c r="AS128" s="82">
        <f>AS130</f>
        <v>0</v>
      </c>
      <c r="AT128" s="131">
        <f>AT130</f>
        <v>0</v>
      </c>
      <c r="AU128" s="99" t="e">
        <f t="shared" si="86"/>
        <v>#DIV/0!</v>
      </c>
      <c r="AV128" s="82">
        <f>AV130</f>
        <v>0</v>
      </c>
      <c r="AW128" s="82">
        <f>AW130</f>
        <v>0</v>
      </c>
      <c r="AX128" s="100" t="e">
        <f t="shared" si="87"/>
        <v>#DIV/0!</v>
      </c>
      <c r="AY128" s="82">
        <f>AY130</f>
        <v>0</v>
      </c>
      <c r="AZ128" s="82">
        <f>AZ130</f>
        <v>0</v>
      </c>
      <c r="BA128" s="204" t="e">
        <f t="shared" si="73"/>
        <v>#DIV/0!</v>
      </c>
      <c r="BB128" s="82"/>
      <c r="BC128" s="82"/>
      <c r="BD128" s="100" t="e">
        <f t="shared" si="88"/>
        <v>#DIV/0!</v>
      </c>
      <c r="BE128" s="82"/>
      <c r="BF128" s="82"/>
      <c r="BG128" s="100" t="e">
        <f t="shared" si="89"/>
        <v>#DIV/0!</v>
      </c>
      <c r="BH128" s="82">
        <f>BH130</f>
        <v>0</v>
      </c>
      <c r="BI128" s="131">
        <f>BI130</f>
        <v>0</v>
      </c>
      <c r="BJ128" s="99" t="e">
        <f t="shared" si="90"/>
        <v>#DIV/0!</v>
      </c>
      <c r="BK128" s="82">
        <f>BK130</f>
        <v>0</v>
      </c>
      <c r="BL128" s="82">
        <f>BL130</f>
        <v>0</v>
      </c>
      <c r="BM128" s="204" t="e">
        <f t="shared" si="74"/>
        <v>#DIV/0!</v>
      </c>
      <c r="BN128" s="131">
        <f>BN130</f>
        <v>2360</v>
      </c>
      <c r="BO128" s="134">
        <f t="shared" si="91"/>
        <v>0.1873015873015873</v>
      </c>
      <c r="BP128" s="197">
        <f t="shared" si="71"/>
        <v>-1678</v>
      </c>
    </row>
    <row r="129" spans="1:68" ht="13.5" thickBot="1">
      <c r="A129" s="102">
        <v>2</v>
      </c>
      <c r="B129" s="103">
        <v>3</v>
      </c>
      <c r="C129" s="103">
        <v>1</v>
      </c>
      <c r="D129" s="103">
        <v>3</v>
      </c>
      <c r="E129" s="202" t="s">
        <v>261</v>
      </c>
      <c r="F129" s="155"/>
      <c r="G129" s="88">
        <f>12600-2400</f>
        <v>10200</v>
      </c>
      <c r="H129" s="82"/>
      <c r="I129" s="131"/>
      <c r="J129" s="138"/>
      <c r="K129" s="203"/>
      <c r="L129" s="82"/>
      <c r="M129" s="89"/>
      <c r="N129" s="82"/>
      <c r="O129" s="82"/>
      <c r="P129" s="89"/>
      <c r="Q129" s="82"/>
      <c r="R129" s="82"/>
      <c r="S129" s="82"/>
      <c r="T129" s="82"/>
      <c r="U129" s="82"/>
      <c r="V129" s="88">
        <v>6018</v>
      </c>
      <c r="W129" s="82"/>
      <c r="X129" s="82"/>
      <c r="Y129" s="131"/>
      <c r="Z129" s="426"/>
      <c r="AA129" s="426"/>
      <c r="AB129" s="238">
        <f>+I129+L129+O129+S129+T129+U129+V129</f>
        <v>6018</v>
      </c>
      <c r="AC129" s="443"/>
      <c r="AD129" s="82"/>
      <c r="AE129" s="131"/>
      <c r="AF129" s="89"/>
      <c r="AG129" s="82"/>
      <c r="AH129" s="131"/>
      <c r="AI129" s="89"/>
      <c r="AJ129" s="82"/>
      <c r="AK129" s="131"/>
      <c r="AL129" s="89"/>
      <c r="AM129" s="82"/>
      <c r="AN129" s="82"/>
      <c r="AO129" s="204"/>
      <c r="AP129" s="82"/>
      <c r="AQ129" s="131"/>
      <c r="AR129" s="98"/>
      <c r="AS129" s="82"/>
      <c r="AT129" s="131"/>
      <c r="AU129" s="99"/>
      <c r="AV129" s="82"/>
      <c r="AW129" s="82"/>
      <c r="AX129" s="100"/>
      <c r="AY129" s="82"/>
      <c r="AZ129" s="82"/>
      <c r="BA129" s="204"/>
      <c r="BB129" s="82"/>
      <c r="BC129" s="82"/>
      <c r="BD129" s="100"/>
      <c r="BE129" s="82"/>
      <c r="BF129" s="82"/>
      <c r="BG129" s="100"/>
      <c r="BH129" s="82"/>
      <c r="BI129" s="131"/>
      <c r="BJ129" s="99"/>
      <c r="BK129" s="82"/>
      <c r="BL129" s="82"/>
      <c r="BM129" s="204"/>
      <c r="BN129" s="131"/>
      <c r="BO129" s="134"/>
      <c r="BP129" s="197"/>
    </row>
    <row r="130" spans="1:68" s="78" customFormat="1" ht="13.5" thickBot="1">
      <c r="A130" s="83">
        <v>2</v>
      </c>
      <c r="B130" s="84">
        <v>3</v>
      </c>
      <c r="C130" s="84">
        <v>1</v>
      </c>
      <c r="D130" s="84">
        <v>3</v>
      </c>
      <c r="E130" s="85" t="s">
        <v>151</v>
      </c>
      <c r="F130" s="90" t="s">
        <v>98</v>
      </c>
      <c r="G130" s="88">
        <v>2400</v>
      </c>
      <c r="H130" s="88"/>
      <c r="I130" s="97"/>
      <c r="J130" s="138" t="e">
        <f t="shared" si="78"/>
        <v>#DIV/0!</v>
      </c>
      <c r="K130" s="148"/>
      <c r="L130" s="88">
        <v>2360</v>
      </c>
      <c r="M130" s="89" t="e">
        <f t="shared" si="79"/>
        <v>#DIV/0!</v>
      </c>
      <c r="N130" s="88"/>
      <c r="O130" s="88"/>
      <c r="P130" s="89" t="e">
        <f t="shared" si="92"/>
        <v>#DIV/0!</v>
      </c>
      <c r="Q130" s="200">
        <f>N130+K130+H130</f>
        <v>0</v>
      </c>
      <c r="R130" s="200"/>
      <c r="S130" s="200"/>
      <c r="T130" s="200"/>
      <c r="U130" s="200"/>
      <c r="V130" s="200">
        <v>5900</v>
      </c>
      <c r="W130" s="200"/>
      <c r="X130" s="200"/>
      <c r="Y130" s="421">
        <v>0</v>
      </c>
      <c r="Z130" s="425"/>
      <c r="AA130" s="425"/>
      <c r="AB130" s="238">
        <f>+I130+L130+O130+S130+T130+U130+V130</f>
        <v>8260</v>
      </c>
      <c r="AC130" s="443" t="e">
        <f t="shared" si="96"/>
        <v>#DIV/0!</v>
      </c>
      <c r="AD130" s="88"/>
      <c r="AE130" s="97"/>
      <c r="AF130" s="89" t="e">
        <f t="shared" si="82"/>
        <v>#DIV/0!</v>
      </c>
      <c r="AG130" s="88"/>
      <c r="AH130" s="97"/>
      <c r="AI130" s="89" t="e">
        <f t="shared" si="83"/>
        <v>#DIV/0!</v>
      </c>
      <c r="AJ130" s="88"/>
      <c r="AK130" s="97"/>
      <c r="AL130" s="89" t="e">
        <f t="shared" si="84"/>
        <v>#DIV/0!</v>
      </c>
      <c r="AM130" s="200">
        <f>AJ130+AG130+AD130</f>
        <v>0</v>
      </c>
      <c r="AN130" s="200">
        <f>AK130+AH130+AE130</f>
        <v>0</v>
      </c>
      <c r="AO130" s="204" t="e">
        <f t="shared" si="112"/>
        <v>#DIV/0!</v>
      </c>
      <c r="AP130" s="88"/>
      <c r="AQ130" s="97"/>
      <c r="AR130" s="98" t="e">
        <f t="shared" si="85"/>
        <v>#DIV/0!</v>
      </c>
      <c r="AS130" s="88"/>
      <c r="AT130" s="97"/>
      <c r="AU130" s="99" t="e">
        <f t="shared" si="86"/>
        <v>#DIV/0!</v>
      </c>
      <c r="AV130" s="86"/>
      <c r="AW130" s="86"/>
      <c r="AX130" s="100" t="e">
        <f t="shared" si="87"/>
        <v>#DIV/0!</v>
      </c>
      <c r="AY130" s="88">
        <f>AV130+AS130+AP130</f>
        <v>0</v>
      </c>
      <c r="AZ130" s="88"/>
      <c r="BA130" s="204" t="e">
        <f t="shared" si="73"/>
        <v>#DIV/0!</v>
      </c>
      <c r="BB130" s="88"/>
      <c r="BC130" s="88"/>
      <c r="BD130" s="100" t="e">
        <f t="shared" si="88"/>
        <v>#DIV/0!</v>
      </c>
      <c r="BE130" s="88"/>
      <c r="BF130" s="88"/>
      <c r="BG130" s="100" t="e">
        <f t="shared" si="89"/>
        <v>#DIV/0!</v>
      </c>
      <c r="BH130" s="88"/>
      <c r="BI130" s="97"/>
      <c r="BJ130" s="99" t="e">
        <f t="shared" si="90"/>
        <v>#DIV/0!</v>
      </c>
      <c r="BK130" s="200">
        <f>BH130+BE130+BB130</f>
        <v>0</v>
      </c>
      <c r="BL130" s="200"/>
      <c r="BM130" s="204" t="e">
        <f t="shared" si="74"/>
        <v>#DIV/0!</v>
      </c>
      <c r="BN130" s="97">
        <f>I130+L130+O130+AE130+AH130+AK130+AQ130+AT130+AW130+BC130+BF130+BI130</f>
        <v>2360</v>
      </c>
      <c r="BO130" s="134">
        <f t="shared" si="91"/>
        <v>0.9833333333333333</v>
      </c>
      <c r="BP130" s="197">
        <f t="shared" si="71"/>
        <v>-5860</v>
      </c>
    </row>
    <row r="131" spans="1:68" s="78" customFormat="1" ht="13.5" thickBot="1">
      <c r="A131" s="83"/>
      <c r="B131" s="84"/>
      <c r="C131" s="84"/>
      <c r="D131" s="84"/>
      <c r="E131" s="104"/>
      <c r="F131" s="155"/>
      <c r="G131" s="82"/>
      <c r="H131" s="82"/>
      <c r="I131" s="97"/>
      <c r="J131" s="138"/>
      <c r="K131" s="148"/>
      <c r="L131" s="88"/>
      <c r="M131" s="89"/>
      <c r="N131" s="88"/>
      <c r="O131" s="88"/>
      <c r="P131" s="89"/>
      <c r="Q131" s="200"/>
      <c r="R131" s="200"/>
      <c r="S131" s="200"/>
      <c r="T131" s="200"/>
      <c r="U131" s="200"/>
      <c r="V131" s="200"/>
      <c r="W131" s="200"/>
      <c r="X131" s="200"/>
      <c r="Y131" s="421"/>
      <c r="Z131" s="425"/>
      <c r="AA131" s="425"/>
      <c r="AB131" s="238"/>
      <c r="AC131" s="443"/>
      <c r="AD131" s="82"/>
      <c r="AE131" s="97"/>
      <c r="AF131" s="89"/>
      <c r="AG131" s="82"/>
      <c r="AH131" s="97"/>
      <c r="AI131" s="89"/>
      <c r="AJ131" s="82"/>
      <c r="AK131" s="97"/>
      <c r="AL131" s="89"/>
      <c r="AM131" s="200"/>
      <c r="AN131" s="200"/>
      <c r="AO131" s="204"/>
      <c r="AP131" s="82"/>
      <c r="AQ131" s="97"/>
      <c r="AR131" s="98"/>
      <c r="AS131" s="82"/>
      <c r="AT131" s="97"/>
      <c r="AU131" s="99"/>
      <c r="AV131" s="86"/>
      <c r="AW131" s="86"/>
      <c r="AX131" s="100"/>
      <c r="AY131" s="88"/>
      <c r="AZ131" s="88"/>
      <c r="BA131" s="204"/>
      <c r="BB131" s="88"/>
      <c r="BC131" s="88"/>
      <c r="BD131" s="100"/>
      <c r="BE131" s="88"/>
      <c r="BF131" s="88"/>
      <c r="BG131" s="100"/>
      <c r="BH131" s="88"/>
      <c r="BI131" s="97"/>
      <c r="BJ131" s="99"/>
      <c r="BK131" s="200"/>
      <c r="BL131" s="200"/>
      <c r="BM131" s="204"/>
      <c r="BN131" s="131"/>
      <c r="BO131" s="134"/>
      <c r="BP131" s="197">
        <f t="shared" si="71"/>
        <v>0</v>
      </c>
    </row>
    <row r="132" spans="1:68" s="76" customFormat="1" ht="13.5" thickBot="1">
      <c r="A132" s="102">
        <v>2</v>
      </c>
      <c r="B132" s="103">
        <v>3</v>
      </c>
      <c r="C132" s="103">
        <v>2</v>
      </c>
      <c r="D132" s="84"/>
      <c r="E132" s="104"/>
      <c r="F132" s="155" t="s">
        <v>99</v>
      </c>
      <c r="G132" s="82">
        <f>+G133+G134</f>
        <v>18500</v>
      </c>
      <c r="H132" s="82">
        <f>+H134</f>
        <v>0</v>
      </c>
      <c r="I132" s="131">
        <f>+I134</f>
        <v>0</v>
      </c>
      <c r="J132" s="138" t="e">
        <f t="shared" si="78"/>
        <v>#DIV/0!</v>
      </c>
      <c r="K132" s="203">
        <f>+K134</f>
        <v>0</v>
      </c>
      <c r="L132" s="82">
        <f>+L134</f>
        <v>0</v>
      </c>
      <c r="M132" s="89" t="e">
        <f t="shared" si="79"/>
        <v>#DIV/0!</v>
      </c>
      <c r="N132" s="82">
        <f>+N134</f>
        <v>0</v>
      </c>
      <c r="O132" s="82">
        <f>+O134</f>
        <v>0</v>
      </c>
      <c r="P132" s="89" t="e">
        <f t="shared" si="92"/>
        <v>#DIV/0!</v>
      </c>
      <c r="Q132" s="82">
        <f>+Q134</f>
        <v>0</v>
      </c>
      <c r="R132" s="82"/>
      <c r="S132" s="82"/>
      <c r="T132" s="82"/>
      <c r="U132" s="82"/>
      <c r="V132" s="82">
        <f>+V134</f>
        <v>0</v>
      </c>
      <c r="W132" s="82">
        <f>+W134</f>
        <v>0</v>
      </c>
      <c r="X132" s="82">
        <f>+X133+X134</f>
        <v>0</v>
      </c>
      <c r="Y132" s="131"/>
      <c r="Z132" s="426"/>
      <c r="AA132" s="426">
        <f>+AA133+AA134</f>
        <v>0</v>
      </c>
      <c r="AB132" s="232">
        <f>+AB133+AB134</f>
        <v>0</v>
      </c>
      <c r="AC132" s="443" t="e">
        <f t="shared" si="96"/>
        <v>#DIV/0!</v>
      </c>
      <c r="AD132" s="82">
        <f>+AD134</f>
        <v>0</v>
      </c>
      <c r="AE132" s="131">
        <f>+AE134</f>
        <v>0</v>
      </c>
      <c r="AF132" s="89" t="e">
        <f t="shared" si="82"/>
        <v>#DIV/0!</v>
      </c>
      <c r="AG132" s="82">
        <f>+AG134</f>
        <v>0</v>
      </c>
      <c r="AH132" s="131">
        <f>+AH134</f>
        <v>0</v>
      </c>
      <c r="AI132" s="89" t="e">
        <f t="shared" si="83"/>
        <v>#DIV/0!</v>
      </c>
      <c r="AJ132" s="82">
        <f>+AJ134</f>
        <v>0</v>
      </c>
      <c r="AK132" s="131">
        <f>+AK134</f>
        <v>0</v>
      </c>
      <c r="AL132" s="89" t="e">
        <f t="shared" si="84"/>
        <v>#DIV/0!</v>
      </c>
      <c r="AM132" s="82">
        <f>+AM134</f>
        <v>0</v>
      </c>
      <c r="AN132" s="82">
        <f>+AN134</f>
        <v>0</v>
      </c>
      <c r="AO132" s="204" t="e">
        <f t="shared" si="112"/>
        <v>#DIV/0!</v>
      </c>
      <c r="AP132" s="82">
        <f>+AP134</f>
        <v>0</v>
      </c>
      <c r="AQ132" s="131">
        <f>+AQ134</f>
        <v>0</v>
      </c>
      <c r="AR132" s="98" t="e">
        <f t="shared" si="85"/>
        <v>#DIV/0!</v>
      </c>
      <c r="AS132" s="82">
        <f>+AS134</f>
        <v>0</v>
      </c>
      <c r="AT132" s="131">
        <f>+AT134</f>
        <v>0</v>
      </c>
      <c r="AU132" s="99" t="e">
        <f t="shared" si="86"/>
        <v>#DIV/0!</v>
      </c>
      <c r="AV132" s="82">
        <f>+AV134</f>
        <v>0</v>
      </c>
      <c r="AW132" s="82">
        <f>+AW134</f>
        <v>0</v>
      </c>
      <c r="AX132" s="100" t="e">
        <f t="shared" si="87"/>
        <v>#DIV/0!</v>
      </c>
      <c r="AY132" s="82">
        <f>+AY134</f>
        <v>0</v>
      </c>
      <c r="AZ132" s="82">
        <f>+AZ134</f>
        <v>0</v>
      </c>
      <c r="BA132" s="204" t="e">
        <f t="shared" si="73"/>
        <v>#DIV/0!</v>
      </c>
      <c r="BB132" s="82"/>
      <c r="BC132" s="82"/>
      <c r="BD132" s="100" t="e">
        <f t="shared" si="88"/>
        <v>#DIV/0!</v>
      </c>
      <c r="BE132" s="82"/>
      <c r="BF132" s="82"/>
      <c r="BG132" s="100" t="e">
        <f t="shared" si="89"/>
        <v>#DIV/0!</v>
      </c>
      <c r="BH132" s="82">
        <f>+BH134</f>
        <v>0</v>
      </c>
      <c r="BI132" s="131">
        <f>+BI134</f>
        <v>0</v>
      </c>
      <c r="BJ132" s="99" t="e">
        <f t="shared" si="90"/>
        <v>#DIV/0!</v>
      </c>
      <c r="BK132" s="82">
        <f>+BK134</f>
        <v>0</v>
      </c>
      <c r="BL132" s="82">
        <f>+BL134</f>
        <v>0</v>
      </c>
      <c r="BM132" s="204" t="e">
        <f t="shared" si="74"/>
        <v>#DIV/0!</v>
      </c>
      <c r="BN132" s="131">
        <f>+BN134</f>
        <v>0</v>
      </c>
      <c r="BO132" s="134">
        <f t="shared" si="91"/>
        <v>0</v>
      </c>
      <c r="BP132" s="197">
        <f t="shared" si="71"/>
        <v>18500</v>
      </c>
    </row>
    <row r="133" spans="1:68" s="76" customFormat="1" ht="13.5" thickBot="1">
      <c r="A133" s="102">
        <v>2</v>
      </c>
      <c r="B133" s="103">
        <v>3</v>
      </c>
      <c r="C133" s="103">
        <v>2</v>
      </c>
      <c r="D133" s="84">
        <v>2</v>
      </c>
      <c r="E133" s="104" t="s">
        <v>252</v>
      </c>
      <c r="F133" s="90" t="s">
        <v>253</v>
      </c>
      <c r="G133" s="88">
        <v>0</v>
      </c>
      <c r="H133" s="82"/>
      <c r="I133" s="131"/>
      <c r="J133" s="138"/>
      <c r="K133" s="203"/>
      <c r="L133" s="82"/>
      <c r="M133" s="89"/>
      <c r="N133" s="82"/>
      <c r="O133" s="82"/>
      <c r="P133" s="89"/>
      <c r="Q133" s="82"/>
      <c r="R133" s="82"/>
      <c r="S133" s="82"/>
      <c r="T133" s="82"/>
      <c r="U133" s="82"/>
      <c r="V133" s="82"/>
      <c r="W133" s="82"/>
      <c r="X133" s="88">
        <v>0</v>
      </c>
      <c r="Y133" s="131"/>
      <c r="Z133" s="426"/>
      <c r="AA133" s="432">
        <v>0</v>
      </c>
      <c r="AB133" s="238">
        <v>0</v>
      </c>
      <c r="AC133" s="443"/>
      <c r="AD133" s="82"/>
      <c r="AE133" s="131"/>
      <c r="AF133" s="89"/>
      <c r="AG133" s="82"/>
      <c r="AH133" s="131"/>
      <c r="AI133" s="89"/>
      <c r="AJ133" s="82"/>
      <c r="AK133" s="131"/>
      <c r="AL133" s="89"/>
      <c r="AM133" s="82"/>
      <c r="AN133" s="82"/>
      <c r="AO133" s="204"/>
      <c r="AP133" s="82"/>
      <c r="AQ133" s="131"/>
      <c r="AR133" s="98"/>
      <c r="AS133" s="82"/>
      <c r="AT133" s="131"/>
      <c r="AU133" s="99"/>
      <c r="AV133" s="82"/>
      <c r="AW133" s="82"/>
      <c r="AX133" s="100"/>
      <c r="AY133" s="82"/>
      <c r="AZ133" s="82"/>
      <c r="BA133" s="204"/>
      <c r="BB133" s="82"/>
      <c r="BC133" s="82"/>
      <c r="BD133" s="100"/>
      <c r="BE133" s="82"/>
      <c r="BF133" s="82"/>
      <c r="BG133" s="100"/>
      <c r="BH133" s="82"/>
      <c r="BI133" s="131"/>
      <c r="BJ133" s="99"/>
      <c r="BK133" s="82"/>
      <c r="BL133" s="82"/>
      <c r="BM133" s="204"/>
      <c r="BN133" s="131"/>
      <c r="BO133" s="134"/>
      <c r="BP133" s="197">
        <f t="shared" si="71"/>
        <v>0</v>
      </c>
    </row>
    <row r="134" spans="1:68" ht="13.5" thickBot="1">
      <c r="A134" s="83">
        <v>2</v>
      </c>
      <c r="B134" s="84">
        <v>3</v>
      </c>
      <c r="C134" s="84">
        <v>2</v>
      </c>
      <c r="D134" s="84">
        <v>3</v>
      </c>
      <c r="E134" s="104" t="s">
        <v>252</v>
      </c>
      <c r="F134" s="90" t="s">
        <v>100</v>
      </c>
      <c r="G134" s="88">
        <f>20000-1500</f>
        <v>18500</v>
      </c>
      <c r="H134" s="88"/>
      <c r="I134" s="97"/>
      <c r="J134" s="138" t="e">
        <f t="shared" si="78"/>
        <v>#DIV/0!</v>
      </c>
      <c r="K134" s="148"/>
      <c r="L134" s="88"/>
      <c r="M134" s="89" t="e">
        <f t="shared" si="79"/>
        <v>#DIV/0!</v>
      </c>
      <c r="N134" s="88"/>
      <c r="O134" s="88"/>
      <c r="P134" s="89" t="e">
        <f t="shared" si="92"/>
        <v>#DIV/0!</v>
      </c>
      <c r="Q134" s="200">
        <f>N134+K134+H134</f>
        <v>0</v>
      </c>
      <c r="R134" s="200"/>
      <c r="S134" s="200"/>
      <c r="T134" s="200"/>
      <c r="U134" s="200"/>
      <c r="V134" s="200">
        <v>0</v>
      </c>
      <c r="W134" s="200">
        <v>0</v>
      </c>
      <c r="X134" s="200">
        <v>0</v>
      </c>
      <c r="Y134" s="421"/>
      <c r="Z134" s="425"/>
      <c r="AA134" s="425"/>
      <c r="AB134" s="238">
        <f>+I134+L134+O134+S134+T134+U134+V134+W134+X134+Y134+Z134+AA134</f>
        <v>0</v>
      </c>
      <c r="AC134" s="443" t="e">
        <f t="shared" si="96"/>
        <v>#DIV/0!</v>
      </c>
      <c r="AD134" s="88"/>
      <c r="AE134" s="97"/>
      <c r="AF134" s="89" t="e">
        <f t="shared" si="82"/>
        <v>#DIV/0!</v>
      </c>
      <c r="AG134" s="88"/>
      <c r="AH134" s="97"/>
      <c r="AI134" s="89" t="e">
        <f t="shared" si="83"/>
        <v>#DIV/0!</v>
      </c>
      <c r="AJ134" s="88"/>
      <c r="AK134" s="97"/>
      <c r="AL134" s="89" t="e">
        <f t="shared" si="84"/>
        <v>#DIV/0!</v>
      </c>
      <c r="AM134" s="200">
        <f>AG134+AD134</f>
        <v>0</v>
      </c>
      <c r="AN134" s="200">
        <f>AK134+AH134+AE134</f>
        <v>0</v>
      </c>
      <c r="AO134" s="204" t="e">
        <f t="shared" si="112"/>
        <v>#DIV/0!</v>
      </c>
      <c r="AP134" s="88"/>
      <c r="AQ134" s="97"/>
      <c r="AR134" s="98" t="e">
        <f t="shared" si="85"/>
        <v>#DIV/0!</v>
      </c>
      <c r="AS134" s="88"/>
      <c r="AT134" s="97"/>
      <c r="AU134" s="99" t="e">
        <f t="shared" si="86"/>
        <v>#DIV/0!</v>
      </c>
      <c r="AV134" s="86"/>
      <c r="AW134" s="86"/>
      <c r="AX134" s="100" t="e">
        <f t="shared" si="87"/>
        <v>#DIV/0!</v>
      </c>
      <c r="AY134" s="88">
        <f>AV134+AS134+AP134</f>
        <v>0</v>
      </c>
      <c r="AZ134" s="88">
        <f>AW134+AT134+AQ134</f>
        <v>0</v>
      </c>
      <c r="BA134" s="204" t="e">
        <f t="shared" si="73"/>
        <v>#DIV/0!</v>
      </c>
      <c r="BB134" s="88"/>
      <c r="BC134" s="88"/>
      <c r="BD134" s="100" t="e">
        <f t="shared" si="88"/>
        <v>#DIV/0!</v>
      </c>
      <c r="BE134" s="88"/>
      <c r="BF134" s="88"/>
      <c r="BG134" s="100" t="e">
        <f t="shared" si="89"/>
        <v>#DIV/0!</v>
      </c>
      <c r="BH134" s="88"/>
      <c r="BI134" s="97"/>
      <c r="BJ134" s="99" t="e">
        <f t="shared" si="90"/>
        <v>#DIV/0!</v>
      </c>
      <c r="BK134" s="200">
        <f>BH134+BE134+BB134</f>
        <v>0</v>
      </c>
      <c r="BL134" s="200">
        <f>BI134+BF134+BC134</f>
        <v>0</v>
      </c>
      <c r="BM134" s="204" t="e">
        <f t="shared" si="74"/>
        <v>#DIV/0!</v>
      </c>
      <c r="BN134" s="97">
        <v>0</v>
      </c>
      <c r="BO134" s="134">
        <f t="shared" si="91"/>
        <v>0</v>
      </c>
      <c r="BP134" s="197">
        <f t="shared" si="71"/>
        <v>18500</v>
      </c>
    </row>
    <row r="135" spans="1:68" s="78" customFormat="1" ht="13.5" thickBot="1">
      <c r="A135" s="83"/>
      <c r="B135" s="84"/>
      <c r="C135" s="84"/>
      <c r="D135" s="84"/>
      <c r="E135" s="104"/>
      <c r="F135" s="155"/>
      <c r="G135" s="82"/>
      <c r="H135" s="82"/>
      <c r="I135" s="97"/>
      <c r="J135" s="138"/>
      <c r="K135" s="148"/>
      <c r="L135" s="88"/>
      <c r="M135" s="89"/>
      <c r="N135" s="88"/>
      <c r="O135" s="88"/>
      <c r="P135" s="89"/>
      <c r="Q135" s="200"/>
      <c r="R135" s="200"/>
      <c r="S135" s="200"/>
      <c r="T135" s="200"/>
      <c r="U135" s="200"/>
      <c r="V135" s="200"/>
      <c r="W135" s="200"/>
      <c r="X135" s="200"/>
      <c r="Y135" s="421"/>
      <c r="Z135" s="425"/>
      <c r="AA135" s="425"/>
      <c r="AB135" s="238">
        <f>+I135+L135+O135+S135+T135+U135+V135+W135+X135+Y135</f>
        <v>0</v>
      </c>
      <c r="AC135" s="443"/>
      <c r="AD135" s="82"/>
      <c r="AE135" s="97"/>
      <c r="AF135" s="89"/>
      <c r="AG135" s="82"/>
      <c r="AH135" s="97"/>
      <c r="AI135" s="89"/>
      <c r="AJ135" s="82"/>
      <c r="AK135" s="97"/>
      <c r="AL135" s="89"/>
      <c r="AM135" s="200"/>
      <c r="AN135" s="200"/>
      <c r="AO135" s="204"/>
      <c r="AP135" s="82"/>
      <c r="AQ135" s="97"/>
      <c r="AR135" s="98"/>
      <c r="AS135" s="82"/>
      <c r="AT135" s="97"/>
      <c r="AU135" s="99"/>
      <c r="AV135" s="86"/>
      <c r="AW135" s="86"/>
      <c r="AX135" s="100"/>
      <c r="AY135" s="88"/>
      <c r="AZ135" s="88"/>
      <c r="BA135" s="204"/>
      <c r="BB135" s="88"/>
      <c r="BC135" s="88"/>
      <c r="BD135" s="100"/>
      <c r="BE135" s="88"/>
      <c r="BF135" s="88"/>
      <c r="BG135" s="100"/>
      <c r="BH135" s="88"/>
      <c r="BI135" s="97"/>
      <c r="BJ135" s="99"/>
      <c r="BK135" s="200"/>
      <c r="BL135" s="200"/>
      <c r="BM135" s="204"/>
      <c r="BN135" s="131"/>
      <c r="BO135" s="134"/>
      <c r="BP135" s="197">
        <f t="shared" si="71"/>
        <v>0</v>
      </c>
    </row>
    <row r="136" spans="1:68" s="76" customFormat="1" ht="13.5" thickBot="1">
      <c r="A136" s="102">
        <v>2</v>
      </c>
      <c r="B136" s="103">
        <v>3</v>
      </c>
      <c r="C136" s="103">
        <v>3</v>
      </c>
      <c r="D136" s="84"/>
      <c r="E136" s="104"/>
      <c r="F136" s="155" t="s">
        <v>122</v>
      </c>
      <c r="G136" s="82">
        <f>G137+G138+G139+G140</f>
        <v>180000</v>
      </c>
      <c r="H136" s="82">
        <f>H137+H138+H139+H140</f>
        <v>0</v>
      </c>
      <c r="I136" s="131">
        <f>I137+I138+I139+I140</f>
        <v>0</v>
      </c>
      <c r="J136" s="138" t="e">
        <f t="shared" si="78"/>
        <v>#DIV/0!</v>
      </c>
      <c r="K136" s="203">
        <f>K137+K138+K139+K140</f>
        <v>0</v>
      </c>
      <c r="L136" s="82">
        <f>L137+L138+L139+L140</f>
        <v>8909</v>
      </c>
      <c r="M136" s="89" t="e">
        <f t="shared" si="79"/>
        <v>#DIV/0!</v>
      </c>
      <c r="N136" s="82">
        <f aca="true" t="shared" si="115" ref="N136:AA136">N137+N138+N139+N140</f>
        <v>0</v>
      </c>
      <c r="O136" s="82">
        <f t="shared" si="115"/>
        <v>31340.8</v>
      </c>
      <c r="P136" s="82" t="e">
        <f t="shared" si="115"/>
        <v>#DIV/0!</v>
      </c>
      <c r="Q136" s="82">
        <f t="shared" si="115"/>
        <v>0</v>
      </c>
      <c r="R136" s="82">
        <f t="shared" si="115"/>
        <v>0</v>
      </c>
      <c r="S136" s="82">
        <f t="shared" si="115"/>
        <v>18514.2</v>
      </c>
      <c r="T136" s="82">
        <f t="shared" si="115"/>
        <v>8326.95</v>
      </c>
      <c r="U136" s="82">
        <f t="shared" si="115"/>
        <v>16304.43</v>
      </c>
      <c r="V136" s="82">
        <f t="shared" si="115"/>
        <v>19357.9</v>
      </c>
      <c r="W136" s="82">
        <f t="shared" si="115"/>
        <v>33495.52</v>
      </c>
      <c r="X136" s="82">
        <f t="shared" si="115"/>
        <v>8295.400000000001</v>
      </c>
      <c r="Y136" s="82">
        <f t="shared" si="115"/>
        <v>0</v>
      </c>
      <c r="Z136" s="131">
        <f t="shared" si="115"/>
        <v>0</v>
      </c>
      <c r="AA136" s="131">
        <f t="shared" si="115"/>
        <v>0</v>
      </c>
      <c r="AB136" s="232">
        <f>AB137+AB138+AB139+AB140</f>
        <v>144544.2</v>
      </c>
      <c r="AC136" s="443" t="e">
        <f t="shared" si="96"/>
        <v>#DIV/0!</v>
      </c>
      <c r="AD136" s="82">
        <f>AD137+AD138+AD139+AD140</f>
        <v>0</v>
      </c>
      <c r="AE136" s="131">
        <f>AE137+AE138+AE139+AE140</f>
        <v>0</v>
      </c>
      <c r="AF136" s="89" t="e">
        <f t="shared" si="82"/>
        <v>#DIV/0!</v>
      </c>
      <c r="AG136" s="82">
        <f>AG137+AG138+AG139+AG140</f>
        <v>0</v>
      </c>
      <c r="AH136" s="131">
        <f>AH137+AH138+AH139+AH140</f>
        <v>0</v>
      </c>
      <c r="AI136" s="89" t="e">
        <f t="shared" si="83"/>
        <v>#DIV/0!</v>
      </c>
      <c r="AJ136" s="82">
        <f>AJ137+AJ138+AJ139+AJ140</f>
        <v>0</v>
      </c>
      <c r="AK136" s="131">
        <f>AK137+AK138+AK139+AK140</f>
        <v>0</v>
      </c>
      <c r="AL136" s="89" t="e">
        <f t="shared" si="84"/>
        <v>#DIV/0!</v>
      </c>
      <c r="AM136" s="82">
        <f>AM137+AM138+AM139+AM140</f>
        <v>0</v>
      </c>
      <c r="AN136" s="82">
        <f>AN137+AN138+AN139+AN140</f>
        <v>0</v>
      </c>
      <c r="AO136" s="204" t="e">
        <f t="shared" si="112"/>
        <v>#DIV/0!</v>
      </c>
      <c r="AP136" s="82">
        <f>AP137+AP138+AP139+AP140</f>
        <v>0</v>
      </c>
      <c r="AQ136" s="131">
        <f>AQ137+AQ138+AQ139+AQ140</f>
        <v>0</v>
      </c>
      <c r="AR136" s="98" t="e">
        <f t="shared" si="85"/>
        <v>#DIV/0!</v>
      </c>
      <c r="AS136" s="82">
        <f>AS137+AS138+AS139+AS140</f>
        <v>0</v>
      </c>
      <c r="AT136" s="131">
        <f>AT137+AT138+AT139+AT140</f>
        <v>0</v>
      </c>
      <c r="AU136" s="99" t="e">
        <f t="shared" si="86"/>
        <v>#DIV/0!</v>
      </c>
      <c r="AV136" s="82">
        <f>AV137+AV138+AV139+AV140</f>
        <v>0</v>
      </c>
      <c r="AW136" s="82">
        <f>AW137+AW138+AW139+AW140</f>
        <v>0</v>
      </c>
      <c r="AX136" s="100" t="e">
        <f t="shared" si="87"/>
        <v>#DIV/0!</v>
      </c>
      <c r="AY136" s="82">
        <f>AY137+AY138+AY139+AY140</f>
        <v>0</v>
      </c>
      <c r="AZ136" s="82">
        <f>AZ137+AZ138+AZ139+AZ140</f>
        <v>0</v>
      </c>
      <c r="BA136" s="204" t="e">
        <f t="shared" si="73"/>
        <v>#DIV/0!</v>
      </c>
      <c r="BB136" s="82"/>
      <c r="BC136" s="82"/>
      <c r="BD136" s="100" t="e">
        <f t="shared" si="88"/>
        <v>#DIV/0!</v>
      </c>
      <c r="BE136" s="82"/>
      <c r="BF136" s="82"/>
      <c r="BG136" s="100" t="e">
        <f t="shared" si="89"/>
        <v>#DIV/0!</v>
      </c>
      <c r="BH136" s="82">
        <f>BH137+BH138+BH139+BH140</f>
        <v>0</v>
      </c>
      <c r="BI136" s="131">
        <f>BI137+BI138+BI139+BI140</f>
        <v>0</v>
      </c>
      <c r="BJ136" s="99" t="e">
        <f t="shared" si="90"/>
        <v>#DIV/0!</v>
      </c>
      <c r="BK136" s="82">
        <f>BK137+BK138+BK139+BK140</f>
        <v>0</v>
      </c>
      <c r="BL136" s="82">
        <f>BL137+BL138+BL139+BL140</f>
        <v>0</v>
      </c>
      <c r="BM136" s="204" t="e">
        <f t="shared" si="74"/>
        <v>#DIV/0!</v>
      </c>
      <c r="BN136" s="131">
        <f>+I136+L136+O136+S136+T136+U136</f>
        <v>83395.38</v>
      </c>
      <c r="BO136" s="134">
        <f t="shared" si="91"/>
        <v>0.4633076666666667</v>
      </c>
      <c r="BP136" s="197">
        <f t="shared" si="71"/>
        <v>35455.79999999999</v>
      </c>
    </row>
    <row r="137" spans="1:68" ht="13.5" thickBot="1">
      <c r="A137" s="102">
        <v>2</v>
      </c>
      <c r="B137" s="103">
        <v>3</v>
      </c>
      <c r="C137" s="103">
        <v>3</v>
      </c>
      <c r="D137" s="103">
        <v>1</v>
      </c>
      <c r="E137" s="202" t="s">
        <v>252</v>
      </c>
      <c r="F137" s="155" t="s">
        <v>4</v>
      </c>
      <c r="G137" s="88">
        <v>100000</v>
      </c>
      <c r="H137" s="82"/>
      <c r="I137" s="131">
        <v>0</v>
      </c>
      <c r="J137" s="138" t="e">
        <f t="shared" si="78"/>
        <v>#DIV/0!</v>
      </c>
      <c r="K137" s="203"/>
      <c r="L137" s="88">
        <v>0</v>
      </c>
      <c r="M137" s="89" t="e">
        <f t="shared" si="79"/>
        <v>#DIV/0!</v>
      </c>
      <c r="N137" s="82"/>
      <c r="O137" s="88">
        <f>3540</f>
        <v>3540</v>
      </c>
      <c r="P137" s="89" t="e">
        <f t="shared" si="92"/>
        <v>#DIV/0!</v>
      </c>
      <c r="Q137" s="200">
        <f>N137+K137+H137</f>
        <v>0</v>
      </c>
      <c r="R137" s="200"/>
      <c r="S137" s="200"/>
      <c r="T137" s="200"/>
      <c r="U137" s="200">
        <v>7080</v>
      </c>
      <c r="V137" s="200">
        <v>0</v>
      </c>
      <c r="W137" s="200">
        <v>7080</v>
      </c>
      <c r="X137" s="200">
        <v>0</v>
      </c>
      <c r="Y137" s="421"/>
      <c r="Z137" s="425"/>
      <c r="AA137" s="425">
        <v>0</v>
      </c>
      <c r="AB137" s="238">
        <f>+I137+L137+O137+S137+T137+U137+V137+W137+X137+Y137+Z137+AA137</f>
        <v>17700</v>
      </c>
      <c r="AC137" s="443" t="e">
        <f t="shared" si="96"/>
        <v>#DIV/0!</v>
      </c>
      <c r="AD137" s="82"/>
      <c r="AE137" s="131"/>
      <c r="AF137" s="89" t="e">
        <f t="shared" si="82"/>
        <v>#DIV/0!</v>
      </c>
      <c r="AG137" s="82"/>
      <c r="AH137" s="131"/>
      <c r="AI137" s="89" t="e">
        <f t="shared" si="83"/>
        <v>#DIV/0!</v>
      </c>
      <c r="AJ137" s="82"/>
      <c r="AK137" s="131"/>
      <c r="AL137" s="89" t="e">
        <f t="shared" si="84"/>
        <v>#DIV/0!</v>
      </c>
      <c r="AM137" s="200">
        <f aca="true" t="shared" si="116" ref="AM137:AN140">AJ137+AG137+AD137</f>
        <v>0</v>
      </c>
      <c r="AN137" s="200">
        <f t="shared" si="116"/>
        <v>0</v>
      </c>
      <c r="AO137" s="204" t="e">
        <f t="shared" si="112"/>
        <v>#DIV/0!</v>
      </c>
      <c r="AP137" s="82"/>
      <c r="AQ137" s="131"/>
      <c r="AR137" s="98" t="e">
        <f t="shared" si="85"/>
        <v>#DIV/0!</v>
      </c>
      <c r="AS137" s="82"/>
      <c r="AT137" s="131"/>
      <c r="AU137" s="99" t="e">
        <f t="shared" si="86"/>
        <v>#DIV/0!</v>
      </c>
      <c r="AV137" s="87"/>
      <c r="AW137" s="87"/>
      <c r="AX137" s="100" t="e">
        <f t="shared" si="87"/>
        <v>#DIV/0!</v>
      </c>
      <c r="AY137" s="88">
        <f aca="true" t="shared" si="117" ref="AY137:AZ140">AV137+AS137+AP137</f>
        <v>0</v>
      </c>
      <c r="AZ137" s="88">
        <f t="shared" si="117"/>
        <v>0</v>
      </c>
      <c r="BA137" s="204" t="e">
        <f t="shared" si="73"/>
        <v>#DIV/0!</v>
      </c>
      <c r="BB137" s="82"/>
      <c r="BC137" s="82"/>
      <c r="BD137" s="100" t="e">
        <f t="shared" si="88"/>
        <v>#DIV/0!</v>
      </c>
      <c r="BE137" s="82"/>
      <c r="BF137" s="82"/>
      <c r="BG137" s="100" t="e">
        <f t="shared" si="89"/>
        <v>#DIV/0!</v>
      </c>
      <c r="BH137" s="82"/>
      <c r="BI137" s="131"/>
      <c r="BJ137" s="99" t="e">
        <f t="shared" si="90"/>
        <v>#DIV/0!</v>
      </c>
      <c r="BK137" s="200">
        <f aca="true" t="shared" si="118" ref="BK137:BL140">BH137+BE137+BB137</f>
        <v>0</v>
      </c>
      <c r="BL137" s="200">
        <f t="shared" si="118"/>
        <v>0</v>
      </c>
      <c r="BM137" s="204" t="e">
        <f t="shared" si="74"/>
        <v>#DIV/0!</v>
      </c>
      <c r="BN137" s="97">
        <f>+I137+L137+O137+S137+T137+U137</f>
        <v>10620</v>
      </c>
      <c r="BO137" s="134">
        <f t="shared" si="91"/>
        <v>0.1062</v>
      </c>
      <c r="BP137" s="197">
        <f t="shared" si="71"/>
        <v>82300</v>
      </c>
    </row>
    <row r="138" spans="1:68" ht="13.5" thickBot="1">
      <c r="A138" s="102">
        <v>2</v>
      </c>
      <c r="B138" s="103">
        <v>3</v>
      </c>
      <c r="C138" s="103">
        <v>3</v>
      </c>
      <c r="D138" s="103">
        <v>2</v>
      </c>
      <c r="E138" s="202" t="s">
        <v>261</v>
      </c>
      <c r="F138" s="155" t="s">
        <v>121</v>
      </c>
      <c r="G138" s="88">
        <f>75000-50000</f>
        <v>25000</v>
      </c>
      <c r="H138" s="82"/>
      <c r="I138" s="131">
        <v>0</v>
      </c>
      <c r="J138" s="138" t="e">
        <f t="shared" si="78"/>
        <v>#DIV/0!</v>
      </c>
      <c r="K138" s="203"/>
      <c r="L138" s="88">
        <v>6678.8</v>
      </c>
      <c r="M138" s="89" t="e">
        <f t="shared" si="79"/>
        <v>#DIV/0!</v>
      </c>
      <c r="N138" s="82"/>
      <c r="O138" s="88">
        <f>578.2+1593</f>
        <v>2171.2</v>
      </c>
      <c r="P138" s="89" t="e">
        <f t="shared" si="92"/>
        <v>#DIV/0!</v>
      </c>
      <c r="Q138" s="200">
        <f>N138+K138+H138</f>
        <v>0</v>
      </c>
      <c r="R138" s="200"/>
      <c r="S138" s="200">
        <v>13558.2</v>
      </c>
      <c r="T138" s="200">
        <v>3228.48</v>
      </c>
      <c r="U138" s="200">
        <f>5273.79</f>
        <v>5273.79</v>
      </c>
      <c r="V138" s="200">
        <f>7021+10832.4</f>
        <v>17853.4</v>
      </c>
      <c r="W138" s="200">
        <f>1111.37+16183.7+653.72+348.1</f>
        <v>18296.89</v>
      </c>
      <c r="X138" s="200">
        <f>3964.8+4330.6</f>
        <v>8295.400000000001</v>
      </c>
      <c r="Y138" s="421"/>
      <c r="Z138" s="425">
        <v>0</v>
      </c>
      <c r="AA138" s="425">
        <v>0</v>
      </c>
      <c r="AB138" s="238">
        <f>+I138+L138+O138+S138+T138+U138+V138+W138+X138+Y138+Z138+AA138</f>
        <v>75356.16</v>
      </c>
      <c r="AC138" s="443" t="e">
        <f t="shared" si="96"/>
        <v>#DIV/0!</v>
      </c>
      <c r="AD138" s="82"/>
      <c r="AE138" s="131"/>
      <c r="AF138" s="89" t="e">
        <f t="shared" si="82"/>
        <v>#DIV/0!</v>
      </c>
      <c r="AG138" s="82"/>
      <c r="AH138" s="131"/>
      <c r="AI138" s="89" t="e">
        <f t="shared" si="83"/>
        <v>#DIV/0!</v>
      </c>
      <c r="AJ138" s="82"/>
      <c r="AK138" s="131"/>
      <c r="AL138" s="89" t="e">
        <f t="shared" si="84"/>
        <v>#DIV/0!</v>
      </c>
      <c r="AM138" s="200">
        <f t="shared" si="116"/>
        <v>0</v>
      </c>
      <c r="AN138" s="200">
        <f t="shared" si="116"/>
        <v>0</v>
      </c>
      <c r="AO138" s="204" t="e">
        <f t="shared" si="112"/>
        <v>#DIV/0!</v>
      </c>
      <c r="AP138" s="82"/>
      <c r="AQ138" s="131"/>
      <c r="AR138" s="98" t="e">
        <f t="shared" si="85"/>
        <v>#DIV/0!</v>
      </c>
      <c r="AS138" s="82"/>
      <c r="AT138" s="131"/>
      <c r="AU138" s="99" t="e">
        <f t="shared" si="86"/>
        <v>#DIV/0!</v>
      </c>
      <c r="AV138" s="87"/>
      <c r="AW138" s="87"/>
      <c r="AX138" s="100" t="e">
        <f t="shared" si="87"/>
        <v>#DIV/0!</v>
      </c>
      <c r="AY138" s="88">
        <f t="shared" si="117"/>
        <v>0</v>
      </c>
      <c r="AZ138" s="88">
        <f t="shared" si="117"/>
        <v>0</v>
      </c>
      <c r="BA138" s="204" t="e">
        <f t="shared" si="73"/>
        <v>#DIV/0!</v>
      </c>
      <c r="BB138" s="82"/>
      <c r="BC138" s="82"/>
      <c r="BD138" s="100" t="e">
        <f t="shared" si="88"/>
        <v>#DIV/0!</v>
      </c>
      <c r="BE138" s="82"/>
      <c r="BF138" s="82"/>
      <c r="BG138" s="100" t="e">
        <f t="shared" si="89"/>
        <v>#DIV/0!</v>
      </c>
      <c r="BH138" s="82"/>
      <c r="BI138" s="131"/>
      <c r="BJ138" s="99" t="e">
        <f t="shared" si="90"/>
        <v>#DIV/0!</v>
      </c>
      <c r="BK138" s="200">
        <f t="shared" si="118"/>
        <v>0</v>
      </c>
      <c r="BL138" s="200">
        <f t="shared" si="118"/>
        <v>0</v>
      </c>
      <c r="BM138" s="204" t="e">
        <f t="shared" si="74"/>
        <v>#DIV/0!</v>
      </c>
      <c r="BN138" s="97">
        <f>+I138+L138+O138+S138+T138+U138</f>
        <v>30910.47</v>
      </c>
      <c r="BO138" s="134">
        <f t="shared" si="91"/>
        <v>1.2364188</v>
      </c>
      <c r="BP138" s="197">
        <f t="shared" si="71"/>
        <v>-50356.16</v>
      </c>
    </row>
    <row r="139" spans="1:68" ht="13.5" thickBot="1">
      <c r="A139" s="102">
        <v>2</v>
      </c>
      <c r="B139" s="103">
        <v>3</v>
      </c>
      <c r="C139" s="103">
        <v>3</v>
      </c>
      <c r="D139" s="103">
        <v>3</v>
      </c>
      <c r="E139" s="202" t="s">
        <v>261</v>
      </c>
      <c r="F139" s="155" t="s">
        <v>120</v>
      </c>
      <c r="G139" s="88">
        <f>15000+11000+12000+10000</f>
        <v>48000</v>
      </c>
      <c r="H139" s="82"/>
      <c r="I139" s="131"/>
      <c r="J139" s="138" t="e">
        <f t="shared" si="78"/>
        <v>#DIV/0!</v>
      </c>
      <c r="K139" s="203"/>
      <c r="L139" s="88">
        <v>2230.2</v>
      </c>
      <c r="M139" s="89" t="e">
        <f t="shared" si="79"/>
        <v>#DIV/0!</v>
      </c>
      <c r="N139" s="82"/>
      <c r="O139" s="88">
        <f>16425.6+9204</f>
        <v>25629.6</v>
      </c>
      <c r="P139" s="89" t="e">
        <f t="shared" si="92"/>
        <v>#DIV/0!</v>
      </c>
      <c r="Q139" s="200">
        <f>N139+K139+H139</f>
        <v>0</v>
      </c>
      <c r="R139" s="200"/>
      <c r="S139" s="200">
        <v>4956</v>
      </c>
      <c r="T139" s="200">
        <f>4602+496.47</f>
        <v>5098.47</v>
      </c>
      <c r="U139" s="200">
        <v>3950.64</v>
      </c>
      <c r="V139" s="200">
        <v>1504.5</v>
      </c>
      <c r="W139" s="200">
        <v>8118.63</v>
      </c>
      <c r="X139" s="200"/>
      <c r="Y139" s="421">
        <v>0</v>
      </c>
      <c r="Z139" s="425">
        <v>0</v>
      </c>
      <c r="AA139" s="425">
        <v>0</v>
      </c>
      <c r="AB139" s="238">
        <f>+I139+L139+O139+S139+T139+U139+V139+W139+X139+Y139+Z139+AA139</f>
        <v>51488.04</v>
      </c>
      <c r="AC139" s="443" t="e">
        <f t="shared" si="96"/>
        <v>#DIV/0!</v>
      </c>
      <c r="AD139" s="82"/>
      <c r="AE139" s="131"/>
      <c r="AF139" s="89" t="e">
        <f t="shared" si="82"/>
        <v>#DIV/0!</v>
      </c>
      <c r="AG139" s="82"/>
      <c r="AH139" s="131"/>
      <c r="AI139" s="89" t="e">
        <f t="shared" si="83"/>
        <v>#DIV/0!</v>
      </c>
      <c r="AJ139" s="82"/>
      <c r="AK139" s="131"/>
      <c r="AL139" s="89" t="e">
        <f t="shared" si="84"/>
        <v>#DIV/0!</v>
      </c>
      <c r="AM139" s="200">
        <f t="shared" si="116"/>
        <v>0</v>
      </c>
      <c r="AN139" s="200">
        <f t="shared" si="116"/>
        <v>0</v>
      </c>
      <c r="AO139" s="204" t="e">
        <f t="shared" si="112"/>
        <v>#DIV/0!</v>
      </c>
      <c r="AP139" s="82"/>
      <c r="AQ139" s="131"/>
      <c r="AR139" s="98" t="e">
        <f t="shared" si="85"/>
        <v>#DIV/0!</v>
      </c>
      <c r="AS139" s="82"/>
      <c r="AT139" s="131"/>
      <c r="AU139" s="99" t="e">
        <f t="shared" si="86"/>
        <v>#DIV/0!</v>
      </c>
      <c r="AV139" s="87"/>
      <c r="AW139" s="87"/>
      <c r="AX139" s="100" t="e">
        <f t="shared" si="87"/>
        <v>#DIV/0!</v>
      </c>
      <c r="AY139" s="88">
        <f t="shared" si="117"/>
        <v>0</v>
      </c>
      <c r="AZ139" s="88">
        <f t="shared" si="117"/>
        <v>0</v>
      </c>
      <c r="BA139" s="204" t="e">
        <f t="shared" si="73"/>
        <v>#DIV/0!</v>
      </c>
      <c r="BB139" s="82"/>
      <c r="BC139" s="82"/>
      <c r="BD139" s="100" t="e">
        <f t="shared" si="88"/>
        <v>#DIV/0!</v>
      </c>
      <c r="BE139" s="82"/>
      <c r="BF139" s="82"/>
      <c r="BG139" s="100" t="e">
        <f t="shared" si="89"/>
        <v>#DIV/0!</v>
      </c>
      <c r="BH139" s="82"/>
      <c r="BI139" s="131"/>
      <c r="BJ139" s="99" t="e">
        <f t="shared" si="90"/>
        <v>#DIV/0!</v>
      </c>
      <c r="BK139" s="200">
        <f t="shared" si="118"/>
        <v>0</v>
      </c>
      <c r="BL139" s="200">
        <f t="shared" si="118"/>
        <v>0</v>
      </c>
      <c r="BM139" s="204" t="e">
        <f t="shared" si="74"/>
        <v>#DIV/0!</v>
      </c>
      <c r="BN139" s="97">
        <f>I139+L139+O139+AE139+AH139+AK139+AQ139+AT139+AW139+BC139+BF139+BI139</f>
        <v>27859.8</v>
      </c>
      <c r="BO139" s="134">
        <f t="shared" si="91"/>
        <v>0.5804125</v>
      </c>
      <c r="BP139" s="197">
        <f t="shared" si="71"/>
        <v>-3488.040000000001</v>
      </c>
    </row>
    <row r="140" spans="1:68" ht="13.5" thickBot="1">
      <c r="A140" s="102">
        <v>2</v>
      </c>
      <c r="B140" s="103">
        <v>3</v>
      </c>
      <c r="C140" s="103">
        <v>3</v>
      </c>
      <c r="D140" s="103">
        <v>4</v>
      </c>
      <c r="E140" s="202"/>
      <c r="F140" s="155" t="s">
        <v>101</v>
      </c>
      <c r="G140" s="88">
        <v>7000</v>
      </c>
      <c r="H140" s="82"/>
      <c r="I140" s="131"/>
      <c r="J140" s="138" t="e">
        <f t="shared" si="78"/>
        <v>#DIV/0!</v>
      </c>
      <c r="K140" s="203"/>
      <c r="L140" s="82"/>
      <c r="M140" s="89" t="e">
        <f t="shared" si="79"/>
        <v>#DIV/0!</v>
      </c>
      <c r="N140" s="82"/>
      <c r="O140" s="88">
        <v>0</v>
      </c>
      <c r="P140" s="89" t="e">
        <f t="shared" si="92"/>
        <v>#DIV/0!</v>
      </c>
      <c r="Q140" s="200">
        <f>N140+K140+H140</f>
        <v>0</v>
      </c>
      <c r="R140" s="200"/>
      <c r="S140" s="200"/>
      <c r="T140" s="200"/>
      <c r="U140" s="200"/>
      <c r="V140" s="200"/>
      <c r="W140" s="200"/>
      <c r="X140" s="200"/>
      <c r="Y140" s="421"/>
      <c r="Z140" s="425"/>
      <c r="AA140" s="425"/>
      <c r="AB140" s="238">
        <f>+I140+L140+O140+S140+T140+U140+V140+W140+X140+Y140</f>
        <v>0</v>
      </c>
      <c r="AC140" s="443" t="e">
        <f t="shared" si="96"/>
        <v>#DIV/0!</v>
      </c>
      <c r="AD140" s="82"/>
      <c r="AE140" s="131"/>
      <c r="AF140" s="89" t="e">
        <f t="shared" si="82"/>
        <v>#DIV/0!</v>
      </c>
      <c r="AG140" s="82"/>
      <c r="AH140" s="131"/>
      <c r="AI140" s="89" t="e">
        <f t="shared" si="83"/>
        <v>#DIV/0!</v>
      </c>
      <c r="AJ140" s="82"/>
      <c r="AK140" s="131"/>
      <c r="AL140" s="89" t="e">
        <f t="shared" si="84"/>
        <v>#DIV/0!</v>
      </c>
      <c r="AM140" s="200">
        <f t="shared" si="116"/>
        <v>0</v>
      </c>
      <c r="AN140" s="200">
        <f t="shared" si="116"/>
        <v>0</v>
      </c>
      <c r="AO140" s="204" t="e">
        <f t="shared" si="112"/>
        <v>#DIV/0!</v>
      </c>
      <c r="AP140" s="82"/>
      <c r="AQ140" s="131"/>
      <c r="AR140" s="98" t="e">
        <f t="shared" si="85"/>
        <v>#DIV/0!</v>
      </c>
      <c r="AS140" s="82"/>
      <c r="AT140" s="131"/>
      <c r="AU140" s="99" t="e">
        <f t="shared" si="86"/>
        <v>#DIV/0!</v>
      </c>
      <c r="AV140" s="87"/>
      <c r="AW140" s="87"/>
      <c r="AX140" s="100" t="e">
        <f t="shared" si="87"/>
        <v>#DIV/0!</v>
      </c>
      <c r="AY140" s="88">
        <f t="shared" si="117"/>
        <v>0</v>
      </c>
      <c r="AZ140" s="88">
        <f t="shared" si="117"/>
        <v>0</v>
      </c>
      <c r="BA140" s="204" t="e">
        <f t="shared" si="73"/>
        <v>#DIV/0!</v>
      </c>
      <c r="BB140" s="82"/>
      <c r="BC140" s="82"/>
      <c r="BD140" s="100" t="e">
        <f t="shared" si="88"/>
        <v>#DIV/0!</v>
      </c>
      <c r="BE140" s="82"/>
      <c r="BF140" s="82"/>
      <c r="BG140" s="100" t="e">
        <f t="shared" si="89"/>
        <v>#DIV/0!</v>
      </c>
      <c r="BH140" s="82"/>
      <c r="BI140" s="131"/>
      <c r="BJ140" s="99" t="e">
        <f t="shared" si="90"/>
        <v>#DIV/0!</v>
      </c>
      <c r="BK140" s="200">
        <f t="shared" si="118"/>
        <v>0</v>
      </c>
      <c r="BL140" s="200">
        <f t="shared" si="118"/>
        <v>0</v>
      </c>
      <c r="BM140" s="204" t="e">
        <f t="shared" si="74"/>
        <v>#DIV/0!</v>
      </c>
      <c r="BN140" s="97">
        <f>I140+L140+O140+AE140+AH140+AK140+AQ140+AT140+AW140+BC140+BF140+BI140</f>
        <v>0</v>
      </c>
      <c r="BO140" s="134">
        <f t="shared" si="91"/>
        <v>0</v>
      </c>
      <c r="BP140" s="197">
        <f t="shared" si="71"/>
        <v>7000</v>
      </c>
    </row>
    <row r="141" spans="1:68" s="78" customFormat="1" ht="13.5" thickBot="1">
      <c r="A141" s="83"/>
      <c r="B141" s="84"/>
      <c r="C141" s="84"/>
      <c r="D141" s="84"/>
      <c r="E141" s="104"/>
      <c r="F141" s="155"/>
      <c r="G141" s="82"/>
      <c r="H141" s="82"/>
      <c r="I141" s="97"/>
      <c r="J141" s="138"/>
      <c r="K141" s="148"/>
      <c r="L141" s="88"/>
      <c r="M141" s="89"/>
      <c r="N141" s="88"/>
      <c r="O141" s="88"/>
      <c r="P141" s="89"/>
      <c r="Q141" s="200"/>
      <c r="R141" s="200"/>
      <c r="S141" s="200"/>
      <c r="T141" s="200"/>
      <c r="U141" s="200"/>
      <c r="V141" s="200"/>
      <c r="W141" s="200"/>
      <c r="X141" s="200"/>
      <c r="Y141" s="421"/>
      <c r="Z141" s="425"/>
      <c r="AA141" s="425"/>
      <c r="AB141" s="238">
        <f>+I141+L141+O141+S141+T141+U141+V141+W141+X141+Y141</f>
        <v>0</v>
      </c>
      <c r="AC141" s="443"/>
      <c r="AD141" s="82"/>
      <c r="AE141" s="97"/>
      <c r="AF141" s="89"/>
      <c r="AG141" s="82"/>
      <c r="AH141" s="97"/>
      <c r="AI141" s="89"/>
      <c r="AJ141" s="82"/>
      <c r="AK141" s="97"/>
      <c r="AL141" s="89"/>
      <c r="AM141" s="200"/>
      <c r="AN141" s="200"/>
      <c r="AO141" s="204"/>
      <c r="AP141" s="82"/>
      <c r="AQ141" s="97"/>
      <c r="AR141" s="98"/>
      <c r="AS141" s="82"/>
      <c r="AT141" s="97"/>
      <c r="AU141" s="99"/>
      <c r="AV141" s="86"/>
      <c r="AW141" s="86"/>
      <c r="AX141" s="100"/>
      <c r="AY141" s="88"/>
      <c r="AZ141" s="88"/>
      <c r="BA141" s="204"/>
      <c r="BB141" s="88"/>
      <c r="BC141" s="88"/>
      <c r="BD141" s="100"/>
      <c r="BE141" s="88"/>
      <c r="BF141" s="88"/>
      <c r="BG141" s="100"/>
      <c r="BH141" s="88"/>
      <c r="BI141" s="97"/>
      <c r="BJ141" s="99"/>
      <c r="BK141" s="200"/>
      <c r="BL141" s="200"/>
      <c r="BM141" s="204"/>
      <c r="BN141" s="131"/>
      <c r="BO141" s="134"/>
      <c r="BP141" s="197">
        <f t="shared" si="71"/>
        <v>0</v>
      </c>
    </row>
    <row r="142" spans="1:68" s="76" customFormat="1" ht="13.5" thickBot="1">
      <c r="A142" s="102">
        <v>2</v>
      </c>
      <c r="B142" s="103">
        <v>3</v>
      </c>
      <c r="C142" s="103">
        <v>4</v>
      </c>
      <c r="D142" s="84"/>
      <c r="E142" s="104"/>
      <c r="F142" s="155" t="s">
        <v>163</v>
      </c>
      <c r="G142" s="82">
        <f>+G143</f>
        <v>18000</v>
      </c>
      <c r="H142" s="82">
        <f>+H143</f>
        <v>0</v>
      </c>
      <c r="I142" s="131">
        <f>+I143</f>
        <v>0</v>
      </c>
      <c r="J142" s="138" t="e">
        <f t="shared" si="78"/>
        <v>#DIV/0!</v>
      </c>
      <c r="K142" s="203">
        <f>+K143</f>
        <v>0</v>
      </c>
      <c r="L142" s="82">
        <f>+L143</f>
        <v>0</v>
      </c>
      <c r="M142" s="89" t="e">
        <f t="shared" si="79"/>
        <v>#DIV/0!</v>
      </c>
      <c r="N142" s="82">
        <f>+N143</f>
        <v>0</v>
      </c>
      <c r="O142" s="82">
        <f>+O143</f>
        <v>0</v>
      </c>
      <c r="P142" s="89" t="e">
        <f t="shared" si="92"/>
        <v>#DIV/0!</v>
      </c>
      <c r="Q142" s="82">
        <f>+Q143</f>
        <v>0</v>
      </c>
      <c r="R142" s="82"/>
      <c r="S142" s="82"/>
      <c r="T142" s="82"/>
      <c r="U142" s="82"/>
      <c r="V142" s="82"/>
      <c r="W142" s="82">
        <f>+W143</f>
        <v>1563.39</v>
      </c>
      <c r="X142" s="82">
        <f>+X143</f>
        <v>0</v>
      </c>
      <c r="Y142" s="131"/>
      <c r="Z142" s="426"/>
      <c r="AA142" s="426"/>
      <c r="AB142" s="232">
        <f>AB143</f>
        <v>1563.39</v>
      </c>
      <c r="AC142" s="443" t="e">
        <f t="shared" si="96"/>
        <v>#DIV/0!</v>
      </c>
      <c r="AD142" s="82">
        <f>+AD143</f>
        <v>0</v>
      </c>
      <c r="AE142" s="131">
        <f>+AE143</f>
        <v>0</v>
      </c>
      <c r="AF142" s="89" t="e">
        <f t="shared" si="82"/>
        <v>#DIV/0!</v>
      </c>
      <c r="AG142" s="82">
        <f>+AG143</f>
        <v>0</v>
      </c>
      <c r="AH142" s="131">
        <f>+AH143</f>
        <v>0</v>
      </c>
      <c r="AI142" s="89" t="e">
        <f t="shared" si="83"/>
        <v>#DIV/0!</v>
      </c>
      <c r="AJ142" s="82">
        <f>+AJ143</f>
        <v>0</v>
      </c>
      <c r="AK142" s="131">
        <f>+AK143</f>
        <v>0</v>
      </c>
      <c r="AL142" s="89" t="e">
        <f t="shared" si="84"/>
        <v>#DIV/0!</v>
      </c>
      <c r="AM142" s="82">
        <f>+AM143</f>
        <v>0</v>
      </c>
      <c r="AN142" s="82">
        <f>+AN143</f>
        <v>0</v>
      </c>
      <c r="AO142" s="204" t="e">
        <f t="shared" si="112"/>
        <v>#DIV/0!</v>
      </c>
      <c r="AP142" s="82">
        <f>+AP143</f>
        <v>0</v>
      </c>
      <c r="AQ142" s="131">
        <f>+AQ143</f>
        <v>0</v>
      </c>
      <c r="AR142" s="98" t="e">
        <f t="shared" si="85"/>
        <v>#DIV/0!</v>
      </c>
      <c r="AS142" s="82">
        <f>+AS143</f>
        <v>0</v>
      </c>
      <c r="AT142" s="131">
        <f>+AT143</f>
        <v>0</v>
      </c>
      <c r="AU142" s="99" t="e">
        <f t="shared" si="86"/>
        <v>#DIV/0!</v>
      </c>
      <c r="AV142" s="82">
        <f>+AV143</f>
        <v>0</v>
      </c>
      <c r="AW142" s="82">
        <f>+AW143</f>
        <v>0</v>
      </c>
      <c r="AX142" s="100" t="e">
        <f t="shared" si="87"/>
        <v>#DIV/0!</v>
      </c>
      <c r="AY142" s="82">
        <f>+AY143</f>
        <v>0</v>
      </c>
      <c r="AZ142" s="82">
        <f>+AZ143</f>
        <v>0</v>
      </c>
      <c r="BA142" s="204" t="e">
        <f t="shared" si="73"/>
        <v>#DIV/0!</v>
      </c>
      <c r="BB142" s="82"/>
      <c r="BC142" s="82"/>
      <c r="BD142" s="100" t="e">
        <f t="shared" si="88"/>
        <v>#DIV/0!</v>
      </c>
      <c r="BE142" s="82"/>
      <c r="BF142" s="82"/>
      <c r="BG142" s="100" t="e">
        <f t="shared" si="89"/>
        <v>#DIV/0!</v>
      </c>
      <c r="BH142" s="82">
        <f>+BH143</f>
        <v>0</v>
      </c>
      <c r="BI142" s="131">
        <f>+BI143</f>
        <v>0</v>
      </c>
      <c r="BJ142" s="99" t="e">
        <f t="shared" si="90"/>
        <v>#DIV/0!</v>
      </c>
      <c r="BK142" s="82">
        <f>+BK143</f>
        <v>0</v>
      </c>
      <c r="BL142" s="82">
        <f>+BL143</f>
        <v>0</v>
      </c>
      <c r="BM142" s="204" t="e">
        <f t="shared" si="74"/>
        <v>#DIV/0!</v>
      </c>
      <c r="BN142" s="131">
        <f>+BN143</f>
        <v>0</v>
      </c>
      <c r="BO142" s="134">
        <f t="shared" si="91"/>
        <v>0</v>
      </c>
      <c r="BP142" s="197">
        <f t="shared" si="71"/>
        <v>16436.61</v>
      </c>
    </row>
    <row r="143" spans="1:68" ht="13.5" thickBot="1">
      <c r="A143" s="102">
        <v>2</v>
      </c>
      <c r="B143" s="103">
        <v>3</v>
      </c>
      <c r="C143" s="103">
        <v>4</v>
      </c>
      <c r="D143" s="103">
        <v>1</v>
      </c>
      <c r="E143" s="202"/>
      <c r="F143" s="90" t="s">
        <v>43</v>
      </c>
      <c r="G143" s="88">
        <f>20000-2000</f>
        <v>18000</v>
      </c>
      <c r="H143" s="82"/>
      <c r="I143" s="131"/>
      <c r="J143" s="138" t="e">
        <f t="shared" si="78"/>
        <v>#DIV/0!</v>
      </c>
      <c r="K143" s="203"/>
      <c r="L143" s="82"/>
      <c r="M143" s="89" t="e">
        <f t="shared" si="79"/>
        <v>#DIV/0!</v>
      </c>
      <c r="N143" s="82"/>
      <c r="O143" s="82"/>
      <c r="P143" s="89" t="e">
        <f t="shared" si="92"/>
        <v>#DIV/0!</v>
      </c>
      <c r="Q143" s="200">
        <f>N143+K143+H143</f>
        <v>0</v>
      </c>
      <c r="R143" s="200"/>
      <c r="S143" s="200"/>
      <c r="T143" s="200"/>
      <c r="U143" s="200"/>
      <c r="V143" s="200"/>
      <c r="W143" s="200">
        <v>1563.39</v>
      </c>
      <c r="X143" s="200">
        <v>0</v>
      </c>
      <c r="Y143" s="421"/>
      <c r="Z143" s="425"/>
      <c r="AA143" s="425"/>
      <c r="AB143" s="238">
        <f>+I143+L143+O143+S143+T143+U143+V143+W143+X143+Y143+Z143+AA143</f>
        <v>1563.39</v>
      </c>
      <c r="AC143" s="443" t="e">
        <f t="shared" si="96"/>
        <v>#DIV/0!</v>
      </c>
      <c r="AD143" s="82"/>
      <c r="AE143" s="131"/>
      <c r="AF143" s="89" t="e">
        <f t="shared" si="82"/>
        <v>#DIV/0!</v>
      </c>
      <c r="AG143" s="82"/>
      <c r="AH143" s="131"/>
      <c r="AI143" s="89" t="e">
        <f t="shared" si="83"/>
        <v>#DIV/0!</v>
      </c>
      <c r="AJ143" s="82"/>
      <c r="AK143" s="131"/>
      <c r="AL143" s="89" t="e">
        <f t="shared" si="84"/>
        <v>#DIV/0!</v>
      </c>
      <c r="AM143" s="200">
        <f>AJ143+AG143+AD143</f>
        <v>0</v>
      </c>
      <c r="AN143" s="200">
        <f>AK143+AH143+AE143</f>
        <v>0</v>
      </c>
      <c r="AO143" s="204" t="e">
        <f t="shared" si="112"/>
        <v>#DIV/0!</v>
      </c>
      <c r="AP143" s="82"/>
      <c r="AQ143" s="131"/>
      <c r="AR143" s="98" t="e">
        <f t="shared" si="85"/>
        <v>#DIV/0!</v>
      </c>
      <c r="AS143" s="82"/>
      <c r="AT143" s="131"/>
      <c r="AU143" s="99" t="e">
        <f t="shared" si="86"/>
        <v>#DIV/0!</v>
      </c>
      <c r="AV143" s="87"/>
      <c r="AW143" s="87"/>
      <c r="AX143" s="100" t="e">
        <f t="shared" si="87"/>
        <v>#DIV/0!</v>
      </c>
      <c r="AY143" s="88">
        <f>AV143+AS143+AP143</f>
        <v>0</v>
      </c>
      <c r="AZ143" s="88">
        <f>AW143+AT143+AQ143</f>
        <v>0</v>
      </c>
      <c r="BA143" s="204" t="e">
        <f t="shared" si="73"/>
        <v>#DIV/0!</v>
      </c>
      <c r="BB143" s="82"/>
      <c r="BC143" s="82"/>
      <c r="BD143" s="100" t="e">
        <f t="shared" si="88"/>
        <v>#DIV/0!</v>
      </c>
      <c r="BE143" s="82"/>
      <c r="BF143" s="82"/>
      <c r="BG143" s="100" t="e">
        <f t="shared" si="89"/>
        <v>#DIV/0!</v>
      </c>
      <c r="BH143" s="82"/>
      <c r="BI143" s="131"/>
      <c r="BJ143" s="99" t="e">
        <f t="shared" si="90"/>
        <v>#DIV/0!</v>
      </c>
      <c r="BK143" s="200">
        <f>BH143+BE143+BB143</f>
        <v>0</v>
      </c>
      <c r="BL143" s="200">
        <f>BI143+BF143+BC143</f>
        <v>0</v>
      </c>
      <c r="BM143" s="204" t="e">
        <f t="shared" si="74"/>
        <v>#DIV/0!</v>
      </c>
      <c r="BN143" s="97">
        <f>I143+L143+O143+AE143+AH143+AK143+AQ143+AT143+AW143+BC143+BF143+BI143</f>
        <v>0</v>
      </c>
      <c r="BO143" s="134">
        <f t="shared" si="91"/>
        <v>0</v>
      </c>
      <c r="BP143" s="197">
        <f t="shared" si="71"/>
        <v>16436.61</v>
      </c>
    </row>
    <row r="144" spans="1:68" s="78" customFormat="1" ht="13.5" thickBot="1">
      <c r="A144" s="83"/>
      <c r="B144" s="84"/>
      <c r="C144" s="84"/>
      <c r="D144" s="84"/>
      <c r="E144" s="104"/>
      <c r="F144" s="155"/>
      <c r="G144" s="82"/>
      <c r="H144" s="82"/>
      <c r="I144" s="97"/>
      <c r="J144" s="138"/>
      <c r="K144" s="148"/>
      <c r="L144" s="88"/>
      <c r="M144" s="89"/>
      <c r="N144" s="88"/>
      <c r="O144" s="88"/>
      <c r="P144" s="89"/>
      <c r="Q144" s="200"/>
      <c r="R144" s="200"/>
      <c r="S144" s="200"/>
      <c r="T144" s="200"/>
      <c r="U144" s="200"/>
      <c r="V144" s="200"/>
      <c r="W144" s="200"/>
      <c r="X144" s="200"/>
      <c r="Y144" s="421"/>
      <c r="Z144" s="425"/>
      <c r="AA144" s="425"/>
      <c r="AB144" s="238">
        <f>+I144+L144+O144+S144+T144+U144+V144+W144+X144+Y144</f>
        <v>0</v>
      </c>
      <c r="AC144" s="443"/>
      <c r="AD144" s="82"/>
      <c r="AE144" s="97"/>
      <c r="AF144" s="89"/>
      <c r="AG144" s="82"/>
      <c r="AH144" s="97"/>
      <c r="AI144" s="89"/>
      <c r="AJ144" s="82"/>
      <c r="AK144" s="97"/>
      <c r="AL144" s="89"/>
      <c r="AM144" s="200"/>
      <c r="AN144" s="200"/>
      <c r="AO144" s="204"/>
      <c r="AP144" s="82"/>
      <c r="AQ144" s="97"/>
      <c r="AR144" s="98"/>
      <c r="AS144" s="82"/>
      <c r="AT144" s="97"/>
      <c r="AU144" s="99"/>
      <c r="AV144" s="86"/>
      <c r="AW144" s="86"/>
      <c r="AX144" s="100"/>
      <c r="AY144" s="88"/>
      <c r="AZ144" s="88"/>
      <c r="BA144" s="204"/>
      <c r="BB144" s="88"/>
      <c r="BC144" s="88"/>
      <c r="BD144" s="100"/>
      <c r="BE144" s="88"/>
      <c r="BF144" s="88"/>
      <c r="BG144" s="100"/>
      <c r="BH144" s="88"/>
      <c r="BI144" s="97"/>
      <c r="BJ144" s="99"/>
      <c r="BK144" s="200"/>
      <c r="BL144" s="200"/>
      <c r="BM144" s="204"/>
      <c r="BN144" s="131"/>
      <c r="BO144" s="134"/>
      <c r="BP144" s="197">
        <f t="shared" si="71"/>
        <v>0</v>
      </c>
    </row>
    <row r="145" spans="1:68" s="76" customFormat="1" ht="26.25" customHeight="1" thickBot="1">
      <c r="A145" s="102">
        <v>2</v>
      </c>
      <c r="B145" s="103">
        <v>3</v>
      </c>
      <c r="C145" s="103">
        <v>5</v>
      </c>
      <c r="D145" s="84"/>
      <c r="E145" s="104"/>
      <c r="F145" s="155" t="s">
        <v>195</v>
      </c>
      <c r="G145" s="82">
        <f>G146+G147+G148</f>
        <v>90000</v>
      </c>
      <c r="H145" s="82">
        <f>H146+H147+H148</f>
        <v>0</v>
      </c>
      <c r="I145" s="131">
        <f>I146+I147+I148</f>
        <v>0</v>
      </c>
      <c r="J145" s="138" t="e">
        <f t="shared" si="78"/>
        <v>#DIV/0!</v>
      </c>
      <c r="K145" s="203">
        <f>K146+K147+K148</f>
        <v>0</v>
      </c>
      <c r="L145" s="82">
        <f>L146+L147+L148</f>
        <v>0</v>
      </c>
      <c r="M145" s="89" t="e">
        <f t="shared" si="79"/>
        <v>#DIV/0!</v>
      </c>
      <c r="N145" s="82">
        <f aca="true" t="shared" si="119" ref="N145:U145">N146+N147+N148</f>
        <v>0</v>
      </c>
      <c r="O145" s="82">
        <f t="shared" si="119"/>
        <v>7020.46</v>
      </c>
      <c r="P145" s="82" t="e">
        <f t="shared" si="119"/>
        <v>#DIV/0!</v>
      </c>
      <c r="Q145" s="82">
        <f t="shared" si="119"/>
        <v>0</v>
      </c>
      <c r="R145" s="82">
        <f t="shared" si="119"/>
        <v>0</v>
      </c>
      <c r="S145" s="82">
        <f t="shared" si="119"/>
        <v>0</v>
      </c>
      <c r="T145" s="82">
        <f t="shared" si="119"/>
        <v>3703.97</v>
      </c>
      <c r="U145" s="82">
        <f t="shared" si="119"/>
        <v>9371.21</v>
      </c>
      <c r="V145" s="82"/>
      <c r="W145" s="82">
        <f>+W146+W147+W148</f>
        <v>4510.03</v>
      </c>
      <c r="X145" s="82">
        <f>+X146+X147+X148</f>
        <v>0</v>
      </c>
      <c r="Y145" s="82">
        <f>+Y146+Y147+Y148</f>
        <v>0</v>
      </c>
      <c r="Z145" s="82">
        <f>+Z146+Z147+Z148</f>
        <v>0</v>
      </c>
      <c r="AA145" s="82">
        <f>+AA146+AA147+AA148</f>
        <v>0</v>
      </c>
      <c r="AB145" s="232">
        <f>AB146+AB147+AB148</f>
        <v>24605.67</v>
      </c>
      <c r="AC145" s="443" t="e">
        <f t="shared" si="96"/>
        <v>#DIV/0!</v>
      </c>
      <c r="AD145" s="82">
        <f>AD146+AD147+AD148</f>
        <v>0</v>
      </c>
      <c r="AE145" s="131">
        <f>AE146+AE147+AE148</f>
        <v>0</v>
      </c>
      <c r="AF145" s="89" t="e">
        <f t="shared" si="82"/>
        <v>#DIV/0!</v>
      </c>
      <c r="AG145" s="82">
        <f>AG146+AG147+AG148</f>
        <v>0</v>
      </c>
      <c r="AH145" s="131">
        <f>AH146+AH147+AH148</f>
        <v>0</v>
      </c>
      <c r="AI145" s="89" t="e">
        <f t="shared" si="83"/>
        <v>#DIV/0!</v>
      </c>
      <c r="AJ145" s="82">
        <f>AJ146+AJ147+AJ148</f>
        <v>0</v>
      </c>
      <c r="AK145" s="131">
        <f>AK146+AK147+AK148</f>
        <v>0</v>
      </c>
      <c r="AL145" s="89" t="e">
        <f t="shared" si="84"/>
        <v>#DIV/0!</v>
      </c>
      <c r="AM145" s="82">
        <f>AM146+AM147+AM148</f>
        <v>0</v>
      </c>
      <c r="AN145" s="82">
        <f>AN146+AN147+AN148</f>
        <v>0</v>
      </c>
      <c r="AO145" s="204" t="e">
        <f t="shared" si="112"/>
        <v>#DIV/0!</v>
      </c>
      <c r="AP145" s="82">
        <f>AP146+AP147+AP148</f>
        <v>0</v>
      </c>
      <c r="AQ145" s="131">
        <f>AQ146+AQ147+AQ148</f>
        <v>0</v>
      </c>
      <c r="AR145" s="98" t="e">
        <f t="shared" si="85"/>
        <v>#DIV/0!</v>
      </c>
      <c r="AS145" s="82">
        <f>AS146+AS147+AS148</f>
        <v>0</v>
      </c>
      <c r="AT145" s="131">
        <f>AT146+AT147+AT148</f>
        <v>0</v>
      </c>
      <c r="AU145" s="99" t="e">
        <f t="shared" si="86"/>
        <v>#DIV/0!</v>
      </c>
      <c r="AV145" s="82">
        <f>AV146+AV147+AV148</f>
        <v>0</v>
      </c>
      <c r="AW145" s="82">
        <f>AW146+AW147+AW148</f>
        <v>0</v>
      </c>
      <c r="AX145" s="100" t="e">
        <f t="shared" si="87"/>
        <v>#DIV/0!</v>
      </c>
      <c r="AY145" s="82">
        <f>AY146+AY147+AY148</f>
        <v>0</v>
      </c>
      <c r="AZ145" s="82">
        <f>AZ146+AZ147+AZ148</f>
        <v>0</v>
      </c>
      <c r="BA145" s="204" t="e">
        <f t="shared" si="73"/>
        <v>#DIV/0!</v>
      </c>
      <c r="BB145" s="82"/>
      <c r="BC145" s="82"/>
      <c r="BD145" s="100" t="e">
        <f t="shared" si="88"/>
        <v>#DIV/0!</v>
      </c>
      <c r="BE145" s="82"/>
      <c r="BF145" s="82"/>
      <c r="BG145" s="100" t="e">
        <f t="shared" si="89"/>
        <v>#DIV/0!</v>
      </c>
      <c r="BH145" s="82">
        <f>BH146+BH147+BH148</f>
        <v>0</v>
      </c>
      <c r="BI145" s="131">
        <f>BI146+BI147+BI148</f>
        <v>0</v>
      </c>
      <c r="BJ145" s="99" t="e">
        <f t="shared" si="90"/>
        <v>#DIV/0!</v>
      </c>
      <c r="BK145" s="82">
        <f>BK146+BK147+BK148</f>
        <v>0</v>
      </c>
      <c r="BL145" s="82">
        <f>BL146+BL147+BL148</f>
        <v>0</v>
      </c>
      <c r="BM145" s="204" t="e">
        <f t="shared" si="74"/>
        <v>#DIV/0!</v>
      </c>
      <c r="BN145" s="131">
        <f>BN146+BN147+BN148</f>
        <v>52620.43</v>
      </c>
      <c r="BO145" s="134">
        <f t="shared" si="91"/>
        <v>0.5846714444444444</v>
      </c>
      <c r="BP145" s="197">
        <f t="shared" si="71"/>
        <v>65394.33</v>
      </c>
    </row>
    <row r="146" spans="1:68" ht="13.5" thickBot="1">
      <c r="A146" s="102">
        <v>2</v>
      </c>
      <c r="B146" s="103">
        <v>3</v>
      </c>
      <c r="C146" s="103">
        <v>5</v>
      </c>
      <c r="D146" s="103">
        <v>3</v>
      </c>
      <c r="E146" s="202"/>
      <c r="F146" s="155" t="s">
        <v>126</v>
      </c>
      <c r="G146" s="88">
        <v>75000</v>
      </c>
      <c r="H146" s="82"/>
      <c r="I146" s="131"/>
      <c r="J146" s="138" t="e">
        <f t="shared" si="78"/>
        <v>#DIV/0!</v>
      </c>
      <c r="K146" s="203"/>
      <c r="L146" s="82"/>
      <c r="M146" s="89" t="e">
        <f t="shared" si="79"/>
        <v>#DIV/0!</v>
      </c>
      <c r="N146" s="82"/>
      <c r="O146" s="82"/>
      <c r="P146" s="89" t="e">
        <f t="shared" si="92"/>
        <v>#DIV/0!</v>
      </c>
      <c r="Q146" s="200">
        <f>N146+K146+H146</f>
        <v>0</v>
      </c>
      <c r="R146" s="200"/>
      <c r="S146" s="200"/>
      <c r="T146" s="200"/>
      <c r="U146" s="200">
        <f>9371.21</f>
        <v>9371.21</v>
      </c>
      <c r="V146" s="200"/>
      <c r="W146" s="200"/>
      <c r="X146" s="200">
        <v>0</v>
      </c>
      <c r="Y146" s="421"/>
      <c r="Z146" s="425"/>
      <c r="AA146" s="425"/>
      <c r="AB146" s="238">
        <f>+I146+L146+O146+S146+T146+U146+V146+W146+X146+Y146+Z146+AA146</f>
        <v>9371.21</v>
      </c>
      <c r="AC146" s="443" t="e">
        <f t="shared" si="96"/>
        <v>#DIV/0!</v>
      </c>
      <c r="AD146" s="82"/>
      <c r="AE146" s="131"/>
      <c r="AF146" s="89" t="e">
        <f t="shared" si="82"/>
        <v>#DIV/0!</v>
      </c>
      <c r="AG146" s="82"/>
      <c r="AH146" s="131"/>
      <c r="AI146" s="89" t="e">
        <f t="shared" si="83"/>
        <v>#DIV/0!</v>
      </c>
      <c r="AJ146" s="82"/>
      <c r="AK146" s="131"/>
      <c r="AL146" s="89" t="e">
        <f t="shared" si="84"/>
        <v>#DIV/0!</v>
      </c>
      <c r="AM146" s="200">
        <f aca="true" t="shared" si="120" ref="AM146:AN148">AJ146+AG146+AD146</f>
        <v>0</v>
      </c>
      <c r="AN146" s="200">
        <f t="shared" si="120"/>
        <v>0</v>
      </c>
      <c r="AO146" s="204" t="e">
        <f t="shared" si="112"/>
        <v>#DIV/0!</v>
      </c>
      <c r="AP146" s="82"/>
      <c r="AQ146" s="131"/>
      <c r="AR146" s="98" t="e">
        <f t="shared" si="85"/>
        <v>#DIV/0!</v>
      </c>
      <c r="AS146" s="82"/>
      <c r="AT146" s="131"/>
      <c r="AU146" s="99" t="e">
        <f t="shared" si="86"/>
        <v>#DIV/0!</v>
      </c>
      <c r="AV146" s="87"/>
      <c r="AW146" s="87"/>
      <c r="AX146" s="100" t="e">
        <f t="shared" si="87"/>
        <v>#DIV/0!</v>
      </c>
      <c r="AY146" s="88">
        <f aca="true" t="shared" si="121" ref="AY146:AZ148">AV146+AS146+AP146</f>
        <v>0</v>
      </c>
      <c r="AZ146" s="88">
        <f t="shared" si="121"/>
        <v>0</v>
      </c>
      <c r="BA146" s="204" t="e">
        <f t="shared" si="73"/>
        <v>#DIV/0!</v>
      </c>
      <c r="BB146" s="82"/>
      <c r="BC146" s="82"/>
      <c r="BD146" s="100" t="e">
        <f t="shared" si="88"/>
        <v>#DIV/0!</v>
      </c>
      <c r="BE146" s="82"/>
      <c r="BF146" s="82"/>
      <c r="BG146" s="100" t="e">
        <f t="shared" si="89"/>
        <v>#DIV/0!</v>
      </c>
      <c r="BH146" s="82"/>
      <c r="BI146" s="131"/>
      <c r="BJ146" s="99" t="e">
        <f t="shared" si="90"/>
        <v>#DIV/0!</v>
      </c>
      <c r="BK146" s="200">
        <f aca="true" t="shared" si="122" ref="BK146:BL148">BH146+BE146+BB146</f>
        <v>0</v>
      </c>
      <c r="BL146" s="200">
        <f t="shared" si="122"/>
        <v>0</v>
      </c>
      <c r="BM146" s="204" t="e">
        <f t="shared" si="74"/>
        <v>#DIV/0!</v>
      </c>
      <c r="BN146" s="97">
        <v>45599.97</v>
      </c>
      <c r="BO146" s="134">
        <f t="shared" si="91"/>
        <v>0.6079996</v>
      </c>
      <c r="BP146" s="197">
        <f t="shared" si="71"/>
        <v>65628.79000000001</v>
      </c>
    </row>
    <row r="147" spans="1:68" ht="13.5" thickBot="1">
      <c r="A147" s="102">
        <v>2</v>
      </c>
      <c r="B147" s="103">
        <v>3</v>
      </c>
      <c r="C147" s="103">
        <v>5</v>
      </c>
      <c r="D147" s="103">
        <v>4</v>
      </c>
      <c r="E147" s="202"/>
      <c r="F147" s="155" t="s">
        <v>144</v>
      </c>
      <c r="G147" s="88">
        <f>15000-10000</f>
        <v>5000</v>
      </c>
      <c r="H147" s="82"/>
      <c r="I147" s="131"/>
      <c r="J147" s="138" t="e">
        <f t="shared" si="78"/>
        <v>#DIV/0!</v>
      </c>
      <c r="K147" s="203"/>
      <c r="L147" s="82"/>
      <c r="M147" s="89" t="e">
        <f t="shared" si="79"/>
        <v>#DIV/0!</v>
      </c>
      <c r="N147" s="82"/>
      <c r="O147" s="82"/>
      <c r="P147" s="89" t="e">
        <f t="shared" si="92"/>
        <v>#DIV/0!</v>
      </c>
      <c r="Q147" s="200">
        <f>N147+K147+H147</f>
        <v>0</v>
      </c>
      <c r="R147" s="200"/>
      <c r="S147" s="200"/>
      <c r="T147" s="200"/>
      <c r="U147" s="200"/>
      <c r="V147" s="200"/>
      <c r="W147" s="200"/>
      <c r="X147" s="200">
        <v>0</v>
      </c>
      <c r="Y147" s="421"/>
      <c r="Z147" s="425"/>
      <c r="AA147" s="425"/>
      <c r="AB147" s="238">
        <f>+I147+L147+O147+S147+T147+U147+V147+W147+X147+Y147+Z147+AA147</f>
        <v>0</v>
      </c>
      <c r="AC147" s="443" t="e">
        <f t="shared" si="96"/>
        <v>#DIV/0!</v>
      </c>
      <c r="AD147" s="82"/>
      <c r="AE147" s="131"/>
      <c r="AF147" s="89" t="e">
        <f t="shared" si="82"/>
        <v>#DIV/0!</v>
      </c>
      <c r="AG147" s="82"/>
      <c r="AH147" s="131"/>
      <c r="AI147" s="89" t="e">
        <f t="shared" si="83"/>
        <v>#DIV/0!</v>
      </c>
      <c r="AJ147" s="82"/>
      <c r="AK147" s="131"/>
      <c r="AL147" s="89" t="e">
        <f t="shared" si="84"/>
        <v>#DIV/0!</v>
      </c>
      <c r="AM147" s="200">
        <f t="shared" si="120"/>
        <v>0</v>
      </c>
      <c r="AN147" s="200">
        <f t="shared" si="120"/>
        <v>0</v>
      </c>
      <c r="AO147" s="204" t="e">
        <f t="shared" si="112"/>
        <v>#DIV/0!</v>
      </c>
      <c r="AP147" s="82"/>
      <c r="AQ147" s="131"/>
      <c r="AR147" s="98" t="e">
        <f t="shared" si="85"/>
        <v>#DIV/0!</v>
      </c>
      <c r="AS147" s="82"/>
      <c r="AT147" s="131"/>
      <c r="AU147" s="99" t="e">
        <f t="shared" si="86"/>
        <v>#DIV/0!</v>
      </c>
      <c r="AV147" s="87"/>
      <c r="AW147" s="87"/>
      <c r="AX147" s="100" t="e">
        <f t="shared" si="87"/>
        <v>#DIV/0!</v>
      </c>
      <c r="AY147" s="88">
        <f t="shared" si="121"/>
        <v>0</v>
      </c>
      <c r="AZ147" s="88">
        <f t="shared" si="121"/>
        <v>0</v>
      </c>
      <c r="BA147" s="204" t="e">
        <f t="shared" si="73"/>
        <v>#DIV/0!</v>
      </c>
      <c r="BB147" s="82"/>
      <c r="BC147" s="82"/>
      <c r="BD147" s="100" t="e">
        <f t="shared" si="88"/>
        <v>#DIV/0!</v>
      </c>
      <c r="BE147" s="82"/>
      <c r="BF147" s="82"/>
      <c r="BG147" s="100" t="e">
        <f t="shared" si="89"/>
        <v>#DIV/0!</v>
      </c>
      <c r="BH147" s="82"/>
      <c r="BI147" s="131"/>
      <c r="BJ147" s="99" t="e">
        <f t="shared" si="90"/>
        <v>#DIV/0!</v>
      </c>
      <c r="BK147" s="200">
        <f t="shared" si="122"/>
        <v>0</v>
      </c>
      <c r="BL147" s="200">
        <f t="shared" si="122"/>
        <v>0</v>
      </c>
      <c r="BM147" s="204" t="e">
        <f t="shared" si="74"/>
        <v>#DIV/0!</v>
      </c>
      <c r="BN147" s="97">
        <f>I147+L147+O147+AE147+AH147+AK147+AQ147+AT147+AW147+BC147+BF147+BI147</f>
        <v>0</v>
      </c>
      <c r="BO147" s="134">
        <f t="shared" si="91"/>
        <v>0</v>
      </c>
      <c r="BP147" s="197">
        <f t="shared" si="71"/>
        <v>5000</v>
      </c>
    </row>
    <row r="148" spans="1:68" ht="13.5" thickBot="1">
      <c r="A148" s="102">
        <v>2</v>
      </c>
      <c r="B148" s="103">
        <v>3</v>
      </c>
      <c r="C148" s="103">
        <v>5</v>
      </c>
      <c r="D148" s="103">
        <v>5</v>
      </c>
      <c r="E148" s="202"/>
      <c r="F148" s="155" t="s">
        <v>143</v>
      </c>
      <c r="G148" s="88">
        <f>15000-5000</f>
        <v>10000</v>
      </c>
      <c r="H148" s="82"/>
      <c r="I148" s="131"/>
      <c r="J148" s="138" t="e">
        <f t="shared" si="78"/>
        <v>#DIV/0!</v>
      </c>
      <c r="K148" s="203"/>
      <c r="L148" s="82"/>
      <c r="M148" s="89" t="e">
        <f t="shared" si="79"/>
        <v>#DIV/0!</v>
      </c>
      <c r="N148" s="82"/>
      <c r="O148" s="88">
        <f>2714+4306.46</f>
        <v>7020.46</v>
      </c>
      <c r="P148" s="89" t="e">
        <f t="shared" si="92"/>
        <v>#DIV/0!</v>
      </c>
      <c r="Q148" s="200">
        <f>N148+K148+H148</f>
        <v>0</v>
      </c>
      <c r="R148" s="200"/>
      <c r="S148" s="200"/>
      <c r="T148" s="200">
        <v>3703.97</v>
      </c>
      <c r="U148" s="200">
        <v>0</v>
      </c>
      <c r="V148" s="200"/>
      <c r="W148" s="200">
        <f>330+4180.03</f>
        <v>4510.03</v>
      </c>
      <c r="X148" s="200">
        <v>0</v>
      </c>
      <c r="Y148" s="421"/>
      <c r="Z148" s="425"/>
      <c r="AA148" s="425">
        <v>0</v>
      </c>
      <c r="AB148" s="238">
        <f>+I148+L148+O148+S148+T148+U148+V148+W148+X148+Y148+Z148+AA148</f>
        <v>15234.46</v>
      </c>
      <c r="AC148" s="443" t="e">
        <f t="shared" si="96"/>
        <v>#DIV/0!</v>
      </c>
      <c r="AD148" s="82"/>
      <c r="AE148" s="131"/>
      <c r="AF148" s="89" t="e">
        <f t="shared" si="82"/>
        <v>#DIV/0!</v>
      </c>
      <c r="AG148" s="82"/>
      <c r="AH148" s="131"/>
      <c r="AI148" s="89" t="e">
        <f t="shared" si="83"/>
        <v>#DIV/0!</v>
      </c>
      <c r="AJ148" s="82"/>
      <c r="AK148" s="131"/>
      <c r="AL148" s="89" t="e">
        <f t="shared" si="84"/>
        <v>#DIV/0!</v>
      </c>
      <c r="AM148" s="200">
        <f t="shared" si="120"/>
        <v>0</v>
      </c>
      <c r="AN148" s="200">
        <f t="shared" si="120"/>
        <v>0</v>
      </c>
      <c r="AO148" s="204" t="e">
        <f t="shared" si="112"/>
        <v>#DIV/0!</v>
      </c>
      <c r="AP148" s="82"/>
      <c r="AQ148" s="131"/>
      <c r="AR148" s="98" t="e">
        <f t="shared" si="85"/>
        <v>#DIV/0!</v>
      </c>
      <c r="AS148" s="82"/>
      <c r="AT148" s="131"/>
      <c r="AU148" s="99" t="e">
        <f t="shared" si="86"/>
        <v>#DIV/0!</v>
      </c>
      <c r="AV148" s="87"/>
      <c r="AW148" s="87"/>
      <c r="AX148" s="100" t="e">
        <f t="shared" si="87"/>
        <v>#DIV/0!</v>
      </c>
      <c r="AY148" s="88">
        <f t="shared" si="121"/>
        <v>0</v>
      </c>
      <c r="AZ148" s="88">
        <f t="shared" si="121"/>
        <v>0</v>
      </c>
      <c r="BA148" s="204" t="e">
        <f t="shared" si="73"/>
        <v>#DIV/0!</v>
      </c>
      <c r="BB148" s="82"/>
      <c r="BC148" s="82"/>
      <c r="BD148" s="100" t="e">
        <f t="shared" si="88"/>
        <v>#DIV/0!</v>
      </c>
      <c r="BE148" s="82"/>
      <c r="BF148" s="82"/>
      <c r="BG148" s="100" t="e">
        <f t="shared" si="89"/>
        <v>#DIV/0!</v>
      </c>
      <c r="BH148" s="82"/>
      <c r="BI148" s="131"/>
      <c r="BJ148" s="99" t="e">
        <f t="shared" si="90"/>
        <v>#DIV/0!</v>
      </c>
      <c r="BK148" s="200">
        <f t="shared" si="122"/>
        <v>0</v>
      </c>
      <c r="BL148" s="200">
        <f t="shared" si="122"/>
        <v>0</v>
      </c>
      <c r="BM148" s="204" t="e">
        <f t="shared" si="74"/>
        <v>#DIV/0!</v>
      </c>
      <c r="BN148" s="97">
        <f>I148+L148+O148+AE148+AH148+AK148+AQ148+AT148+AW148+BC148+BF148+BI148</f>
        <v>7020.46</v>
      </c>
      <c r="BO148" s="134">
        <f t="shared" si="91"/>
        <v>0.7020460000000001</v>
      </c>
      <c r="BP148" s="197">
        <f t="shared" si="71"/>
        <v>-5234.459999999999</v>
      </c>
    </row>
    <row r="149" spans="1:68" s="78" customFormat="1" ht="13.5" thickBot="1">
      <c r="A149" s="83"/>
      <c r="B149" s="84"/>
      <c r="C149" s="84"/>
      <c r="D149" s="84"/>
      <c r="E149" s="104"/>
      <c r="F149" s="90"/>
      <c r="G149" s="88"/>
      <c r="H149" s="88"/>
      <c r="I149" s="97"/>
      <c r="J149" s="138"/>
      <c r="K149" s="148"/>
      <c r="L149" s="88"/>
      <c r="M149" s="89"/>
      <c r="N149" s="88"/>
      <c r="O149" s="88"/>
      <c r="P149" s="89"/>
      <c r="Q149" s="200"/>
      <c r="R149" s="200"/>
      <c r="S149" s="200"/>
      <c r="T149" s="200"/>
      <c r="U149" s="200"/>
      <c r="V149" s="200"/>
      <c r="W149" s="200"/>
      <c r="X149" s="200"/>
      <c r="Y149" s="421"/>
      <c r="Z149" s="425"/>
      <c r="AA149" s="425"/>
      <c r="AB149" s="238">
        <f>+I149+L149+O149+S149+T149+U149+V149+W149+X149+Y149</f>
        <v>0</v>
      </c>
      <c r="AC149" s="443"/>
      <c r="AD149" s="88"/>
      <c r="AE149" s="97"/>
      <c r="AF149" s="89"/>
      <c r="AG149" s="88"/>
      <c r="AH149" s="97"/>
      <c r="AI149" s="89"/>
      <c r="AJ149" s="88"/>
      <c r="AK149" s="97"/>
      <c r="AL149" s="89"/>
      <c r="AM149" s="200"/>
      <c r="AN149" s="200"/>
      <c r="AO149" s="204"/>
      <c r="AP149" s="88"/>
      <c r="AQ149" s="97"/>
      <c r="AR149" s="98"/>
      <c r="AS149" s="88"/>
      <c r="AT149" s="97"/>
      <c r="AU149" s="99"/>
      <c r="AV149" s="86"/>
      <c r="AW149" s="86"/>
      <c r="AX149" s="100"/>
      <c r="AY149" s="88"/>
      <c r="AZ149" s="88"/>
      <c r="BA149" s="204"/>
      <c r="BB149" s="88"/>
      <c r="BC149" s="88"/>
      <c r="BD149" s="100"/>
      <c r="BE149" s="88"/>
      <c r="BF149" s="88"/>
      <c r="BG149" s="100"/>
      <c r="BH149" s="88"/>
      <c r="BI149" s="97"/>
      <c r="BJ149" s="99"/>
      <c r="BK149" s="200"/>
      <c r="BL149" s="200"/>
      <c r="BM149" s="204"/>
      <c r="BN149" s="97"/>
      <c r="BO149" s="134"/>
      <c r="BP149" s="197">
        <f aca="true" t="shared" si="123" ref="BP149:BP222">+G149-AB149</f>
        <v>0</v>
      </c>
    </row>
    <row r="150" spans="1:68" s="76" customFormat="1" ht="26.25" customHeight="1" thickBot="1">
      <c r="A150" s="102">
        <v>2</v>
      </c>
      <c r="B150" s="103">
        <v>3</v>
      </c>
      <c r="C150" s="103">
        <v>6</v>
      </c>
      <c r="D150" s="84"/>
      <c r="E150" s="104"/>
      <c r="F150" s="155" t="s">
        <v>206</v>
      </c>
      <c r="G150" s="82">
        <f>+G151+G152</f>
        <v>5000</v>
      </c>
      <c r="H150" s="82">
        <f>+H152</f>
        <v>0</v>
      </c>
      <c r="I150" s="131">
        <f>+I152</f>
        <v>0</v>
      </c>
      <c r="J150" s="138" t="e">
        <f t="shared" si="78"/>
        <v>#DIV/0!</v>
      </c>
      <c r="K150" s="203">
        <f>+K152</f>
        <v>0</v>
      </c>
      <c r="L150" s="82">
        <f>+L152</f>
        <v>0</v>
      </c>
      <c r="M150" s="89" t="e">
        <f t="shared" si="79"/>
        <v>#DIV/0!</v>
      </c>
      <c r="N150" s="82">
        <f aca="true" t="shared" si="124" ref="N150:S150">+N152</f>
        <v>0</v>
      </c>
      <c r="O150" s="82">
        <f t="shared" si="124"/>
        <v>0</v>
      </c>
      <c r="P150" s="82" t="e">
        <f t="shared" si="124"/>
        <v>#DIV/0!</v>
      </c>
      <c r="Q150" s="82">
        <f t="shared" si="124"/>
        <v>0</v>
      </c>
      <c r="R150" s="82">
        <f t="shared" si="124"/>
        <v>0</v>
      </c>
      <c r="S150" s="82">
        <f t="shared" si="124"/>
        <v>0</v>
      </c>
      <c r="T150" s="82"/>
      <c r="U150" s="82"/>
      <c r="V150" s="82"/>
      <c r="W150" s="82">
        <f>+W151+W152</f>
        <v>25</v>
      </c>
      <c r="X150" s="82">
        <f>+X151+X152</f>
        <v>0</v>
      </c>
      <c r="Y150" s="131"/>
      <c r="Z150" s="426"/>
      <c r="AA150" s="426">
        <f>+AA152</f>
        <v>0</v>
      </c>
      <c r="AB150" s="232">
        <f>+AB151+AB152</f>
        <v>25</v>
      </c>
      <c r="AC150" s="443" t="e">
        <f t="shared" si="96"/>
        <v>#DIV/0!</v>
      </c>
      <c r="AD150" s="82">
        <f>+AD152</f>
        <v>0</v>
      </c>
      <c r="AE150" s="131">
        <f>+AE152</f>
        <v>0</v>
      </c>
      <c r="AF150" s="89" t="e">
        <f t="shared" si="82"/>
        <v>#DIV/0!</v>
      </c>
      <c r="AG150" s="82">
        <f>+AG152</f>
        <v>0</v>
      </c>
      <c r="AH150" s="131">
        <f>+AH152</f>
        <v>0</v>
      </c>
      <c r="AI150" s="89" t="e">
        <f t="shared" si="83"/>
        <v>#DIV/0!</v>
      </c>
      <c r="AJ150" s="82">
        <f>+AJ152</f>
        <v>0</v>
      </c>
      <c r="AK150" s="131">
        <f>+AK152</f>
        <v>0</v>
      </c>
      <c r="AL150" s="89" t="e">
        <f t="shared" si="84"/>
        <v>#DIV/0!</v>
      </c>
      <c r="AM150" s="82">
        <f>+AM152</f>
        <v>0</v>
      </c>
      <c r="AN150" s="82">
        <f>+AN152</f>
        <v>0</v>
      </c>
      <c r="AO150" s="204" t="e">
        <f t="shared" si="112"/>
        <v>#DIV/0!</v>
      </c>
      <c r="AP150" s="82">
        <f>+AP152</f>
        <v>0</v>
      </c>
      <c r="AQ150" s="131">
        <f>+AQ152</f>
        <v>0</v>
      </c>
      <c r="AR150" s="98" t="e">
        <f t="shared" si="85"/>
        <v>#DIV/0!</v>
      </c>
      <c r="AS150" s="82">
        <f>+AS152</f>
        <v>0</v>
      </c>
      <c r="AT150" s="131">
        <f>+AT152</f>
        <v>0</v>
      </c>
      <c r="AU150" s="99" t="e">
        <f t="shared" si="86"/>
        <v>#DIV/0!</v>
      </c>
      <c r="AV150" s="82">
        <f>+AV152</f>
        <v>0</v>
      </c>
      <c r="AW150" s="82">
        <f>+AW152</f>
        <v>0</v>
      </c>
      <c r="AX150" s="100" t="e">
        <f t="shared" si="87"/>
        <v>#DIV/0!</v>
      </c>
      <c r="AY150" s="82">
        <f>+AY152</f>
        <v>0</v>
      </c>
      <c r="AZ150" s="82">
        <f>+AZ152</f>
        <v>0</v>
      </c>
      <c r="BA150" s="204" t="e">
        <f t="shared" si="73"/>
        <v>#DIV/0!</v>
      </c>
      <c r="BB150" s="82"/>
      <c r="BC150" s="82"/>
      <c r="BD150" s="100" t="e">
        <f t="shared" si="88"/>
        <v>#DIV/0!</v>
      </c>
      <c r="BE150" s="82"/>
      <c r="BF150" s="82"/>
      <c r="BG150" s="100" t="e">
        <f t="shared" si="89"/>
        <v>#DIV/0!</v>
      </c>
      <c r="BH150" s="82">
        <f>+BH152</f>
        <v>0</v>
      </c>
      <c r="BI150" s="131">
        <f>+BI152</f>
        <v>0</v>
      </c>
      <c r="BJ150" s="99" t="e">
        <f t="shared" si="90"/>
        <v>#DIV/0!</v>
      </c>
      <c r="BK150" s="82">
        <f>+BK152</f>
        <v>0</v>
      </c>
      <c r="BL150" s="82">
        <f>+BL152</f>
        <v>0</v>
      </c>
      <c r="BM150" s="204" t="e">
        <f t="shared" si="74"/>
        <v>#DIV/0!</v>
      </c>
      <c r="BN150" s="131">
        <f>+BN152</f>
        <v>0</v>
      </c>
      <c r="BO150" s="134">
        <f t="shared" si="91"/>
        <v>0</v>
      </c>
      <c r="BP150" s="197">
        <f t="shared" si="123"/>
        <v>4975</v>
      </c>
    </row>
    <row r="151" spans="1:68" s="76" customFormat="1" ht="12.75" customHeight="1" thickBot="1">
      <c r="A151" s="102">
        <v>2</v>
      </c>
      <c r="B151" s="103">
        <v>3</v>
      </c>
      <c r="C151" s="103">
        <v>6</v>
      </c>
      <c r="D151" s="84">
        <v>1</v>
      </c>
      <c r="E151" s="104"/>
      <c r="F151" s="155"/>
      <c r="G151" s="82">
        <v>25</v>
      </c>
      <c r="H151" s="82"/>
      <c r="I151" s="131"/>
      <c r="J151" s="138"/>
      <c r="K151" s="203"/>
      <c r="L151" s="82"/>
      <c r="M151" s="89"/>
      <c r="N151" s="82"/>
      <c r="O151" s="82"/>
      <c r="P151" s="81"/>
      <c r="Q151" s="82"/>
      <c r="R151" s="82"/>
      <c r="S151" s="82"/>
      <c r="T151" s="82"/>
      <c r="U151" s="82"/>
      <c r="V151" s="82"/>
      <c r="W151" s="88">
        <v>25</v>
      </c>
      <c r="X151" s="82">
        <v>0</v>
      </c>
      <c r="Y151" s="131"/>
      <c r="Z151" s="426"/>
      <c r="AA151" s="426"/>
      <c r="AB151" s="232">
        <f>+W151+Z151+AA151</f>
        <v>25</v>
      </c>
      <c r="AC151" s="443"/>
      <c r="AD151" s="82"/>
      <c r="AE151" s="131"/>
      <c r="AF151" s="89"/>
      <c r="AG151" s="82"/>
      <c r="AH151" s="131"/>
      <c r="AI151" s="89"/>
      <c r="AJ151" s="82"/>
      <c r="AK151" s="131"/>
      <c r="AL151" s="89"/>
      <c r="AM151" s="82"/>
      <c r="AN151" s="82"/>
      <c r="AO151" s="204"/>
      <c r="AP151" s="82"/>
      <c r="AQ151" s="131"/>
      <c r="AR151" s="98"/>
      <c r="AS151" s="82"/>
      <c r="AT151" s="131"/>
      <c r="AU151" s="99"/>
      <c r="AV151" s="82"/>
      <c r="AW151" s="82"/>
      <c r="AX151" s="100"/>
      <c r="AY151" s="82"/>
      <c r="AZ151" s="82"/>
      <c r="BA151" s="204"/>
      <c r="BB151" s="82"/>
      <c r="BC151" s="82"/>
      <c r="BD151" s="100"/>
      <c r="BE151" s="82"/>
      <c r="BF151" s="82"/>
      <c r="BG151" s="100"/>
      <c r="BH151" s="82"/>
      <c r="BI151" s="131"/>
      <c r="BJ151" s="99"/>
      <c r="BK151" s="82"/>
      <c r="BL151" s="82"/>
      <c r="BM151" s="204"/>
      <c r="BN151" s="131"/>
      <c r="BO151" s="134"/>
      <c r="BP151" s="197">
        <f>+G151-AB151</f>
        <v>0</v>
      </c>
    </row>
    <row r="152" spans="1:68" ht="13.5" thickBot="1">
      <c r="A152" s="102">
        <v>2</v>
      </c>
      <c r="B152" s="103">
        <v>3</v>
      </c>
      <c r="C152" s="103">
        <v>6</v>
      </c>
      <c r="D152" s="103">
        <v>2</v>
      </c>
      <c r="E152" s="202"/>
      <c r="F152" s="155" t="s">
        <v>44</v>
      </c>
      <c r="G152" s="88">
        <v>4975</v>
      </c>
      <c r="H152" s="82"/>
      <c r="I152" s="131"/>
      <c r="J152" s="138" t="e">
        <f t="shared" si="78"/>
        <v>#DIV/0!</v>
      </c>
      <c r="K152" s="203"/>
      <c r="L152" s="82"/>
      <c r="M152" s="89" t="e">
        <f t="shared" si="79"/>
        <v>#DIV/0!</v>
      </c>
      <c r="N152" s="82"/>
      <c r="O152" s="82"/>
      <c r="P152" s="89" t="e">
        <f t="shared" si="92"/>
        <v>#DIV/0!</v>
      </c>
      <c r="Q152" s="200">
        <f>N152+K152+H152</f>
        <v>0</v>
      </c>
      <c r="R152" s="200"/>
      <c r="S152" s="200"/>
      <c r="T152" s="200"/>
      <c r="U152" s="200"/>
      <c r="V152" s="200"/>
      <c r="W152" s="200"/>
      <c r="X152" s="200"/>
      <c r="Y152" s="421"/>
      <c r="Z152" s="425"/>
      <c r="AA152" s="425">
        <v>0</v>
      </c>
      <c r="AB152" s="238">
        <f>+I152+L152+O152+S152+T152+U152+V152+W152+X152+Y152+Z152+AA152</f>
        <v>0</v>
      </c>
      <c r="AC152" s="443" t="e">
        <f t="shared" si="96"/>
        <v>#DIV/0!</v>
      </c>
      <c r="AD152" s="82"/>
      <c r="AE152" s="131"/>
      <c r="AF152" s="89" t="e">
        <f t="shared" si="82"/>
        <v>#DIV/0!</v>
      </c>
      <c r="AG152" s="82"/>
      <c r="AH152" s="131"/>
      <c r="AI152" s="89" t="e">
        <f t="shared" si="83"/>
        <v>#DIV/0!</v>
      </c>
      <c r="AJ152" s="82"/>
      <c r="AK152" s="131"/>
      <c r="AL152" s="89" t="e">
        <f t="shared" si="84"/>
        <v>#DIV/0!</v>
      </c>
      <c r="AM152" s="200">
        <f>AJ152+AG152+AD152</f>
        <v>0</v>
      </c>
      <c r="AN152" s="200">
        <f>AK152+AH152+AE152</f>
        <v>0</v>
      </c>
      <c r="AO152" s="204" t="e">
        <f t="shared" si="112"/>
        <v>#DIV/0!</v>
      </c>
      <c r="AP152" s="82"/>
      <c r="AQ152" s="131"/>
      <c r="AR152" s="98" t="e">
        <f t="shared" si="85"/>
        <v>#DIV/0!</v>
      </c>
      <c r="AS152" s="82"/>
      <c r="AT152" s="131"/>
      <c r="AU152" s="99" t="e">
        <f t="shared" si="86"/>
        <v>#DIV/0!</v>
      </c>
      <c r="AV152" s="87"/>
      <c r="AW152" s="87"/>
      <c r="AX152" s="100" t="e">
        <f t="shared" si="87"/>
        <v>#DIV/0!</v>
      </c>
      <c r="AY152" s="88">
        <f>AV152+AS152+AP152</f>
        <v>0</v>
      </c>
      <c r="AZ152" s="88">
        <f>AW152+AT152+AQ152</f>
        <v>0</v>
      </c>
      <c r="BA152" s="204" t="e">
        <f t="shared" si="73"/>
        <v>#DIV/0!</v>
      </c>
      <c r="BB152" s="82"/>
      <c r="BC152" s="82"/>
      <c r="BD152" s="100" t="e">
        <f t="shared" si="88"/>
        <v>#DIV/0!</v>
      </c>
      <c r="BE152" s="82"/>
      <c r="BF152" s="82"/>
      <c r="BG152" s="100" t="e">
        <f t="shared" si="89"/>
        <v>#DIV/0!</v>
      </c>
      <c r="BH152" s="82"/>
      <c r="BI152" s="131"/>
      <c r="BJ152" s="99" t="e">
        <f t="shared" si="90"/>
        <v>#DIV/0!</v>
      </c>
      <c r="BK152" s="200">
        <f>BH152+BE152+BB152</f>
        <v>0</v>
      </c>
      <c r="BL152" s="200">
        <f>BI152+BF152+BC152</f>
        <v>0</v>
      </c>
      <c r="BM152" s="204" t="e">
        <f t="shared" si="74"/>
        <v>#DIV/0!</v>
      </c>
      <c r="BN152" s="97">
        <f>I152+L152+O152+AE152+AH152+AK152+AQ152+AT152+AW152+BC152+BF152+BI152</f>
        <v>0</v>
      </c>
      <c r="BO152" s="134">
        <f t="shared" si="91"/>
        <v>0</v>
      </c>
      <c r="BP152" s="197">
        <f t="shared" si="123"/>
        <v>4975</v>
      </c>
    </row>
    <row r="153" spans="1:68" s="78" customFormat="1" ht="13.5" thickBot="1">
      <c r="A153" s="83"/>
      <c r="B153" s="84"/>
      <c r="C153" s="84"/>
      <c r="D153" s="84"/>
      <c r="E153" s="104"/>
      <c r="F153" s="155"/>
      <c r="G153" s="82"/>
      <c r="H153" s="82"/>
      <c r="I153" s="97"/>
      <c r="J153" s="138"/>
      <c r="K153" s="148"/>
      <c r="L153" s="88"/>
      <c r="M153" s="89"/>
      <c r="N153" s="88"/>
      <c r="O153" s="88"/>
      <c r="P153" s="89"/>
      <c r="Q153" s="200"/>
      <c r="R153" s="200"/>
      <c r="S153" s="200"/>
      <c r="T153" s="200"/>
      <c r="U153" s="200"/>
      <c r="V153" s="200"/>
      <c r="W153" s="200"/>
      <c r="X153" s="200"/>
      <c r="Y153" s="421"/>
      <c r="Z153" s="425"/>
      <c r="AA153" s="425"/>
      <c r="AB153" s="238"/>
      <c r="AC153" s="443"/>
      <c r="AD153" s="82"/>
      <c r="AE153" s="97"/>
      <c r="AF153" s="89"/>
      <c r="AG153" s="82"/>
      <c r="AH153" s="97"/>
      <c r="AI153" s="89"/>
      <c r="AJ153" s="82"/>
      <c r="AK153" s="97"/>
      <c r="AL153" s="89"/>
      <c r="AM153" s="200"/>
      <c r="AN153" s="200"/>
      <c r="AO153" s="204"/>
      <c r="AP153" s="82"/>
      <c r="AQ153" s="97"/>
      <c r="AR153" s="98"/>
      <c r="AS153" s="82"/>
      <c r="AT153" s="97"/>
      <c r="AU153" s="99"/>
      <c r="AV153" s="86"/>
      <c r="AW153" s="86"/>
      <c r="AX153" s="100"/>
      <c r="AY153" s="88"/>
      <c r="AZ153" s="88"/>
      <c r="BA153" s="204"/>
      <c r="BB153" s="88"/>
      <c r="BC153" s="88"/>
      <c r="BD153" s="100"/>
      <c r="BE153" s="88"/>
      <c r="BF153" s="88"/>
      <c r="BG153" s="100"/>
      <c r="BH153" s="88"/>
      <c r="BI153" s="97"/>
      <c r="BJ153" s="99"/>
      <c r="BK153" s="200"/>
      <c r="BL153" s="200"/>
      <c r="BM153" s="204"/>
      <c r="BN153" s="131"/>
      <c r="BO153" s="134"/>
      <c r="BP153" s="197">
        <f t="shared" si="123"/>
        <v>0</v>
      </c>
    </row>
    <row r="154" spans="1:68" s="76" customFormat="1" ht="26.25" customHeight="1" thickBot="1">
      <c r="A154" s="102">
        <v>2</v>
      </c>
      <c r="B154" s="103">
        <v>3</v>
      </c>
      <c r="C154" s="103">
        <v>7</v>
      </c>
      <c r="D154" s="103"/>
      <c r="E154" s="104"/>
      <c r="F154" s="155" t="s">
        <v>229</v>
      </c>
      <c r="G154" s="82">
        <f>+G155</f>
        <v>3152500</v>
      </c>
      <c r="H154" s="82">
        <f>+H155</f>
        <v>0</v>
      </c>
      <c r="I154" s="131">
        <f>+I155</f>
        <v>160000</v>
      </c>
      <c r="J154" s="138" t="e">
        <f t="shared" si="78"/>
        <v>#DIV/0!</v>
      </c>
      <c r="K154" s="203">
        <f>+K155</f>
        <v>0</v>
      </c>
      <c r="L154" s="82">
        <f>+L155</f>
        <v>160000</v>
      </c>
      <c r="M154" s="89" t="e">
        <f t="shared" si="79"/>
        <v>#DIV/0!</v>
      </c>
      <c r="N154" s="82">
        <f aca="true" t="shared" si="125" ref="N154:BN154">+N155</f>
        <v>0</v>
      </c>
      <c r="O154" s="82">
        <f t="shared" si="125"/>
        <v>240000</v>
      </c>
      <c r="P154" s="82" t="e">
        <f t="shared" si="125"/>
        <v>#DIV/0!</v>
      </c>
      <c r="Q154" s="82">
        <f t="shared" si="125"/>
        <v>0</v>
      </c>
      <c r="R154" s="82">
        <f t="shared" si="125"/>
        <v>0</v>
      </c>
      <c r="S154" s="82">
        <f t="shared" si="125"/>
        <v>160000</v>
      </c>
      <c r="T154" s="82">
        <f t="shared" si="125"/>
        <v>320000</v>
      </c>
      <c r="U154" s="82">
        <f t="shared" si="125"/>
        <v>160000</v>
      </c>
      <c r="V154" s="82">
        <f t="shared" si="125"/>
        <v>240000</v>
      </c>
      <c r="W154" s="82">
        <f t="shared" si="125"/>
        <v>242245</v>
      </c>
      <c r="X154" s="82">
        <f t="shared" si="125"/>
        <v>254084.99</v>
      </c>
      <c r="Y154" s="131">
        <f>+Y155</f>
        <v>0</v>
      </c>
      <c r="Z154" s="131">
        <f>+Z155</f>
        <v>0</v>
      </c>
      <c r="AA154" s="131">
        <f>+AA155</f>
        <v>0</v>
      </c>
      <c r="AB154" s="232">
        <f>AB155+AB160</f>
        <v>1936329.99</v>
      </c>
      <c r="AC154" s="203" t="e">
        <f t="shared" si="125"/>
        <v>#DIV/0!</v>
      </c>
      <c r="AD154" s="82">
        <f t="shared" si="125"/>
        <v>0</v>
      </c>
      <c r="AE154" s="82">
        <f t="shared" si="125"/>
        <v>0</v>
      </c>
      <c r="AF154" s="82" t="e">
        <f t="shared" si="125"/>
        <v>#DIV/0!</v>
      </c>
      <c r="AG154" s="82">
        <f t="shared" si="125"/>
        <v>0</v>
      </c>
      <c r="AH154" s="82">
        <f t="shared" si="125"/>
        <v>0</v>
      </c>
      <c r="AI154" s="82" t="e">
        <f t="shared" si="125"/>
        <v>#DIV/0!</v>
      </c>
      <c r="AJ154" s="82">
        <f t="shared" si="125"/>
        <v>0</v>
      </c>
      <c r="AK154" s="82">
        <f t="shared" si="125"/>
        <v>0</v>
      </c>
      <c r="AL154" s="82" t="e">
        <f t="shared" si="125"/>
        <v>#DIV/0!</v>
      </c>
      <c r="AM154" s="82">
        <f t="shared" si="125"/>
        <v>0</v>
      </c>
      <c r="AN154" s="82">
        <f t="shared" si="125"/>
        <v>0</v>
      </c>
      <c r="AO154" s="82" t="e">
        <f t="shared" si="125"/>
        <v>#DIV/0!</v>
      </c>
      <c r="AP154" s="82">
        <f t="shared" si="125"/>
        <v>0</v>
      </c>
      <c r="AQ154" s="82">
        <f t="shared" si="125"/>
        <v>0</v>
      </c>
      <c r="AR154" s="82" t="e">
        <f t="shared" si="125"/>
        <v>#DIV/0!</v>
      </c>
      <c r="AS154" s="82">
        <f t="shared" si="125"/>
        <v>0</v>
      </c>
      <c r="AT154" s="82">
        <f t="shared" si="125"/>
        <v>0</v>
      </c>
      <c r="AU154" s="82" t="e">
        <f t="shared" si="125"/>
        <v>#DIV/0!</v>
      </c>
      <c r="AV154" s="82">
        <f t="shared" si="125"/>
        <v>0</v>
      </c>
      <c r="AW154" s="82">
        <f t="shared" si="125"/>
        <v>0</v>
      </c>
      <c r="AX154" s="82" t="e">
        <f t="shared" si="125"/>
        <v>#DIV/0!</v>
      </c>
      <c r="AY154" s="82">
        <f t="shared" si="125"/>
        <v>0</v>
      </c>
      <c r="AZ154" s="82">
        <f t="shared" si="125"/>
        <v>0</v>
      </c>
      <c r="BA154" s="82" t="e">
        <f t="shared" si="125"/>
        <v>#DIV/0!</v>
      </c>
      <c r="BB154" s="82">
        <f t="shared" si="125"/>
        <v>0</v>
      </c>
      <c r="BC154" s="82">
        <f t="shared" si="125"/>
        <v>0</v>
      </c>
      <c r="BD154" s="82" t="e">
        <f t="shared" si="125"/>
        <v>#DIV/0!</v>
      </c>
      <c r="BE154" s="82">
        <f t="shared" si="125"/>
        <v>0</v>
      </c>
      <c r="BF154" s="82">
        <f t="shared" si="125"/>
        <v>0</v>
      </c>
      <c r="BG154" s="82" t="e">
        <f t="shared" si="125"/>
        <v>#DIV/0!</v>
      </c>
      <c r="BH154" s="82">
        <f t="shared" si="125"/>
        <v>0</v>
      </c>
      <c r="BI154" s="82">
        <f t="shared" si="125"/>
        <v>0</v>
      </c>
      <c r="BJ154" s="82" t="e">
        <f t="shared" si="125"/>
        <v>#DIV/0!</v>
      </c>
      <c r="BK154" s="82">
        <f t="shared" si="125"/>
        <v>0</v>
      </c>
      <c r="BL154" s="82">
        <f t="shared" si="125"/>
        <v>0</v>
      </c>
      <c r="BM154" s="82" t="e">
        <f t="shared" si="125"/>
        <v>#DIV/0!</v>
      </c>
      <c r="BN154" s="82">
        <f t="shared" si="125"/>
        <v>240000</v>
      </c>
      <c r="BO154" s="134">
        <f t="shared" si="91"/>
        <v>0.0761300555114988</v>
      </c>
      <c r="BP154" s="197">
        <f t="shared" si="123"/>
        <v>1216170.01</v>
      </c>
    </row>
    <row r="155" spans="1:68" ht="13.5" thickBot="1">
      <c r="A155" s="102">
        <v>2</v>
      </c>
      <c r="B155" s="103">
        <v>3</v>
      </c>
      <c r="C155" s="103">
        <v>7</v>
      </c>
      <c r="D155" s="103">
        <v>1</v>
      </c>
      <c r="E155" s="202"/>
      <c r="F155" s="155" t="s">
        <v>5</v>
      </c>
      <c r="G155" s="82">
        <f>G156+G157+G158+G159</f>
        <v>3152500</v>
      </c>
      <c r="H155" s="82">
        <f>H156+H157+H158+H159</f>
        <v>0</v>
      </c>
      <c r="I155" s="131">
        <f>I156+I157+I158+I159</f>
        <v>160000</v>
      </c>
      <c r="J155" s="138" t="e">
        <f t="shared" si="78"/>
        <v>#DIV/0!</v>
      </c>
      <c r="K155" s="203">
        <f>K156+K157+K158+K159</f>
        <v>0</v>
      </c>
      <c r="L155" s="82">
        <f>L156+L157+L158+L159</f>
        <v>160000</v>
      </c>
      <c r="M155" s="89" t="e">
        <f t="shared" si="79"/>
        <v>#DIV/0!</v>
      </c>
      <c r="N155" s="82">
        <f aca="true" t="shared" si="126" ref="N155:BN155">N156+N157+N158+N159</f>
        <v>0</v>
      </c>
      <c r="O155" s="82">
        <f t="shared" si="126"/>
        <v>240000</v>
      </c>
      <c r="P155" s="82" t="e">
        <f t="shared" si="126"/>
        <v>#DIV/0!</v>
      </c>
      <c r="Q155" s="82">
        <f t="shared" si="126"/>
        <v>0</v>
      </c>
      <c r="R155" s="82">
        <f t="shared" si="126"/>
        <v>0</v>
      </c>
      <c r="S155" s="82">
        <f t="shared" si="126"/>
        <v>160000</v>
      </c>
      <c r="T155" s="82">
        <f t="shared" si="126"/>
        <v>320000</v>
      </c>
      <c r="U155" s="82">
        <f t="shared" si="126"/>
        <v>160000</v>
      </c>
      <c r="V155" s="82">
        <f t="shared" si="126"/>
        <v>240000</v>
      </c>
      <c r="W155" s="82">
        <f>W156+W157+W158+W159+W160</f>
        <v>242245</v>
      </c>
      <c r="X155" s="82">
        <f>X156+X157+X158+X159+X160</f>
        <v>254084.99</v>
      </c>
      <c r="Y155" s="131">
        <f t="shared" si="126"/>
        <v>0</v>
      </c>
      <c r="Z155" s="131">
        <f t="shared" si="126"/>
        <v>0</v>
      </c>
      <c r="AA155" s="131">
        <f t="shared" si="126"/>
        <v>0</v>
      </c>
      <c r="AB155" s="232">
        <f>AB156+AB157+AB158+AB159</f>
        <v>1921200</v>
      </c>
      <c r="AC155" s="203" t="e">
        <f t="shared" si="126"/>
        <v>#DIV/0!</v>
      </c>
      <c r="AD155" s="82">
        <f t="shared" si="126"/>
        <v>0</v>
      </c>
      <c r="AE155" s="82">
        <f t="shared" si="126"/>
        <v>0</v>
      </c>
      <c r="AF155" s="82" t="e">
        <f t="shared" si="126"/>
        <v>#DIV/0!</v>
      </c>
      <c r="AG155" s="82">
        <f t="shared" si="126"/>
        <v>0</v>
      </c>
      <c r="AH155" s="82">
        <f t="shared" si="126"/>
        <v>0</v>
      </c>
      <c r="AI155" s="82" t="e">
        <f t="shared" si="126"/>
        <v>#DIV/0!</v>
      </c>
      <c r="AJ155" s="82">
        <f t="shared" si="126"/>
        <v>0</v>
      </c>
      <c r="AK155" s="82">
        <f t="shared" si="126"/>
        <v>0</v>
      </c>
      <c r="AL155" s="82" t="e">
        <f t="shared" si="126"/>
        <v>#DIV/0!</v>
      </c>
      <c r="AM155" s="82">
        <f t="shared" si="126"/>
        <v>0</v>
      </c>
      <c r="AN155" s="82">
        <f t="shared" si="126"/>
        <v>0</v>
      </c>
      <c r="AO155" s="82" t="e">
        <f t="shared" si="126"/>
        <v>#DIV/0!</v>
      </c>
      <c r="AP155" s="82">
        <f t="shared" si="126"/>
        <v>0</v>
      </c>
      <c r="AQ155" s="82">
        <f t="shared" si="126"/>
        <v>0</v>
      </c>
      <c r="AR155" s="82" t="e">
        <f t="shared" si="126"/>
        <v>#DIV/0!</v>
      </c>
      <c r="AS155" s="82">
        <f t="shared" si="126"/>
        <v>0</v>
      </c>
      <c r="AT155" s="82">
        <f t="shared" si="126"/>
        <v>0</v>
      </c>
      <c r="AU155" s="82" t="e">
        <f t="shared" si="126"/>
        <v>#DIV/0!</v>
      </c>
      <c r="AV155" s="82">
        <f t="shared" si="126"/>
        <v>0</v>
      </c>
      <c r="AW155" s="82">
        <f t="shared" si="126"/>
        <v>0</v>
      </c>
      <c r="AX155" s="82" t="e">
        <f t="shared" si="126"/>
        <v>#DIV/0!</v>
      </c>
      <c r="AY155" s="82">
        <f t="shared" si="126"/>
        <v>0</v>
      </c>
      <c r="AZ155" s="82">
        <f t="shared" si="126"/>
        <v>0</v>
      </c>
      <c r="BA155" s="82" t="e">
        <f t="shared" si="126"/>
        <v>#DIV/0!</v>
      </c>
      <c r="BB155" s="82">
        <f t="shared" si="126"/>
        <v>0</v>
      </c>
      <c r="BC155" s="82">
        <f t="shared" si="126"/>
        <v>0</v>
      </c>
      <c r="BD155" s="82" t="e">
        <f t="shared" si="126"/>
        <v>#DIV/0!</v>
      </c>
      <c r="BE155" s="82">
        <f t="shared" si="126"/>
        <v>0</v>
      </c>
      <c r="BF155" s="82">
        <f t="shared" si="126"/>
        <v>0</v>
      </c>
      <c r="BG155" s="82" t="e">
        <f t="shared" si="126"/>
        <v>#DIV/0!</v>
      </c>
      <c r="BH155" s="82">
        <f t="shared" si="126"/>
        <v>0</v>
      </c>
      <c r="BI155" s="82">
        <f t="shared" si="126"/>
        <v>0</v>
      </c>
      <c r="BJ155" s="82" t="e">
        <f t="shared" si="126"/>
        <v>#DIV/0!</v>
      </c>
      <c r="BK155" s="82">
        <f t="shared" si="126"/>
        <v>0</v>
      </c>
      <c r="BL155" s="82">
        <f t="shared" si="126"/>
        <v>0</v>
      </c>
      <c r="BM155" s="82" t="e">
        <f t="shared" si="126"/>
        <v>#DIV/0!</v>
      </c>
      <c r="BN155" s="82">
        <f t="shared" si="126"/>
        <v>240000</v>
      </c>
      <c r="BO155" s="134">
        <f t="shared" si="91"/>
        <v>0.0761300555114988</v>
      </c>
      <c r="BP155" s="197">
        <f t="shared" si="123"/>
        <v>1231300</v>
      </c>
    </row>
    <row r="156" spans="1:68" s="78" customFormat="1" ht="13.5" thickBot="1">
      <c r="A156" s="83">
        <v>2</v>
      </c>
      <c r="B156" s="84">
        <v>3</v>
      </c>
      <c r="C156" s="84">
        <v>7</v>
      </c>
      <c r="D156" s="84">
        <v>1</v>
      </c>
      <c r="E156" s="85" t="s">
        <v>149</v>
      </c>
      <c r="F156" s="90" t="s">
        <v>45</v>
      </c>
      <c r="G156" s="88">
        <f>1400000-66000+200000</f>
        <v>1534000</v>
      </c>
      <c r="H156" s="88"/>
      <c r="I156" s="97">
        <f>40000+40000</f>
        <v>80000</v>
      </c>
      <c r="J156" s="138" t="e">
        <f t="shared" si="78"/>
        <v>#DIV/0!</v>
      </c>
      <c r="K156" s="148"/>
      <c r="L156" s="88">
        <f>40000+40000</f>
        <v>80000</v>
      </c>
      <c r="M156" s="89" t="e">
        <f t="shared" si="79"/>
        <v>#DIV/0!</v>
      </c>
      <c r="N156" s="88"/>
      <c r="O156" s="88">
        <f>40000+40000+40000</f>
        <v>120000</v>
      </c>
      <c r="P156" s="89" t="e">
        <f t="shared" si="92"/>
        <v>#DIV/0!</v>
      </c>
      <c r="Q156" s="200">
        <f>N156+K156+H156</f>
        <v>0</v>
      </c>
      <c r="R156" s="200"/>
      <c r="S156" s="200">
        <f>40000+40000</f>
        <v>80000</v>
      </c>
      <c r="T156" s="200">
        <f>40000+40000+40000+40000</f>
        <v>160000</v>
      </c>
      <c r="U156" s="200">
        <f>40000+40000</f>
        <v>80000</v>
      </c>
      <c r="V156" s="200">
        <f aca="true" t="shared" si="127" ref="V156:X157">40000+40000+40000</f>
        <v>120000</v>
      </c>
      <c r="W156" s="200">
        <f t="shared" si="127"/>
        <v>120000</v>
      </c>
      <c r="X156" s="200">
        <f t="shared" si="127"/>
        <v>120000</v>
      </c>
      <c r="Y156" s="421">
        <v>0</v>
      </c>
      <c r="Z156" s="425">
        <v>0</v>
      </c>
      <c r="AA156" s="425">
        <v>0</v>
      </c>
      <c r="AB156" s="238">
        <f>+I156+L156+O156+S156+T156+U156+V156+W156+X156+Y156+Z156+AA156</f>
        <v>960000</v>
      </c>
      <c r="AC156" s="443" t="e">
        <f t="shared" si="96"/>
        <v>#DIV/0!</v>
      </c>
      <c r="AD156" s="88"/>
      <c r="AE156" s="97"/>
      <c r="AF156" s="89" t="e">
        <f t="shared" si="82"/>
        <v>#DIV/0!</v>
      </c>
      <c r="AG156" s="88"/>
      <c r="AH156" s="97"/>
      <c r="AI156" s="89" t="e">
        <f t="shared" si="83"/>
        <v>#DIV/0!</v>
      </c>
      <c r="AJ156" s="88"/>
      <c r="AK156" s="97"/>
      <c r="AL156" s="89" t="e">
        <f t="shared" si="84"/>
        <v>#DIV/0!</v>
      </c>
      <c r="AM156" s="200">
        <f aca="true" t="shared" si="128" ref="AM156:AN159">AJ156+AG156+AD156</f>
        <v>0</v>
      </c>
      <c r="AN156" s="200">
        <f t="shared" si="128"/>
        <v>0</v>
      </c>
      <c r="AO156" s="204" t="e">
        <f t="shared" si="112"/>
        <v>#DIV/0!</v>
      </c>
      <c r="AP156" s="88"/>
      <c r="AQ156" s="97"/>
      <c r="AR156" s="98" t="e">
        <f t="shared" si="85"/>
        <v>#DIV/0!</v>
      </c>
      <c r="AS156" s="88"/>
      <c r="AT156" s="97"/>
      <c r="AU156" s="99" t="e">
        <f t="shared" si="86"/>
        <v>#DIV/0!</v>
      </c>
      <c r="AV156" s="86"/>
      <c r="AW156" s="86"/>
      <c r="AX156" s="100" t="e">
        <f t="shared" si="87"/>
        <v>#DIV/0!</v>
      </c>
      <c r="AY156" s="88">
        <f aca="true" t="shared" si="129" ref="AY156:AZ159">AV156+AS156+AP156</f>
        <v>0</v>
      </c>
      <c r="AZ156" s="88">
        <f t="shared" si="129"/>
        <v>0</v>
      </c>
      <c r="BA156" s="204" t="e">
        <f aca="true" t="shared" si="130" ref="BA156:BA194">AZ156/AY156</f>
        <v>#DIV/0!</v>
      </c>
      <c r="BB156" s="88"/>
      <c r="BC156" s="88"/>
      <c r="BD156" s="100" t="e">
        <f t="shared" si="88"/>
        <v>#DIV/0!</v>
      </c>
      <c r="BE156" s="88"/>
      <c r="BF156" s="88"/>
      <c r="BG156" s="100" t="e">
        <f t="shared" si="89"/>
        <v>#DIV/0!</v>
      </c>
      <c r="BH156" s="88"/>
      <c r="BI156" s="97"/>
      <c r="BJ156" s="99" t="e">
        <f t="shared" si="90"/>
        <v>#DIV/0!</v>
      </c>
      <c r="BK156" s="200">
        <f aca="true" t="shared" si="131" ref="BK156:BL159">BH156+BE156+BB156</f>
        <v>0</v>
      </c>
      <c r="BL156" s="200">
        <f t="shared" si="131"/>
        <v>0</v>
      </c>
      <c r="BM156" s="204" t="e">
        <f aca="true" t="shared" si="132" ref="BM156:BM194">BL156/BK156</f>
        <v>#DIV/0!</v>
      </c>
      <c r="BN156" s="97">
        <v>120000</v>
      </c>
      <c r="BO156" s="134">
        <f t="shared" si="91"/>
        <v>0.07822685788787484</v>
      </c>
      <c r="BP156" s="197">
        <f t="shared" si="123"/>
        <v>574000</v>
      </c>
    </row>
    <row r="157" spans="1:68" s="78" customFormat="1" ht="13.5" thickBot="1">
      <c r="A157" s="83">
        <v>2</v>
      </c>
      <c r="B157" s="84">
        <v>3</v>
      </c>
      <c r="C157" s="84">
        <v>7</v>
      </c>
      <c r="D157" s="84">
        <v>1</v>
      </c>
      <c r="E157" s="85" t="s">
        <v>150</v>
      </c>
      <c r="F157" s="90" t="s">
        <v>46</v>
      </c>
      <c r="G157" s="88">
        <v>1600000</v>
      </c>
      <c r="H157" s="88"/>
      <c r="I157" s="97">
        <f>40000+40000</f>
        <v>80000</v>
      </c>
      <c r="J157" s="138" t="e">
        <f t="shared" si="78"/>
        <v>#DIV/0!</v>
      </c>
      <c r="K157" s="148"/>
      <c r="L157" s="88">
        <f>40000+40000</f>
        <v>80000</v>
      </c>
      <c r="M157" s="89" t="e">
        <f t="shared" si="79"/>
        <v>#DIV/0!</v>
      </c>
      <c r="N157" s="88"/>
      <c r="O157" s="88">
        <f>40000+40000+40000</f>
        <v>120000</v>
      </c>
      <c r="P157" s="89" t="e">
        <f t="shared" si="92"/>
        <v>#DIV/0!</v>
      </c>
      <c r="Q157" s="200">
        <f>N157+K157+H157</f>
        <v>0</v>
      </c>
      <c r="R157" s="200"/>
      <c r="S157" s="200">
        <f>40000+40000</f>
        <v>80000</v>
      </c>
      <c r="T157" s="200">
        <f>40000+40000+40000+40000</f>
        <v>160000</v>
      </c>
      <c r="U157" s="200">
        <f>40000+40000</f>
        <v>80000</v>
      </c>
      <c r="V157" s="200">
        <f t="shared" si="127"/>
        <v>120000</v>
      </c>
      <c r="W157" s="200">
        <f t="shared" si="127"/>
        <v>120000</v>
      </c>
      <c r="X157" s="200">
        <f t="shared" si="127"/>
        <v>120000</v>
      </c>
      <c r="Y157" s="421">
        <v>0</v>
      </c>
      <c r="Z157" s="425">
        <v>0</v>
      </c>
      <c r="AA157" s="425">
        <v>0</v>
      </c>
      <c r="AB157" s="238">
        <f>+I157+L157+O157+S157+T157+U157+V157+W157+X157+Y157+Z157+AA157</f>
        <v>960000</v>
      </c>
      <c r="AC157" s="443" t="e">
        <f t="shared" si="96"/>
        <v>#DIV/0!</v>
      </c>
      <c r="AD157" s="88"/>
      <c r="AE157" s="97"/>
      <c r="AF157" s="89" t="e">
        <f t="shared" si="82"/>
        <v>#DIV/0!</v>
      </c>
      <c r="AG157" s="88"/>
      <c r="AH157" s="97"/>
      <c r="AI157" s="89" t="e">
        <f t="shared" si="83"/>
        <v>#DIV/0!</v>
      </c>
      <c r="AJ157" s="88"/>
      <c r="AK157" s="97"/>
      <c r="AL157" s="89" t="e">
        <f t="shared" si="84"/>
        <v>#DIV/0!</v>
      </c>
      <c r="AM157" s="200">
        <f t="shared" si="128"/>
        <v>0</v>
      </c>
      <c r="AN157" s="200">
        <f t="shared" si="128"/>
        <v>0</v>
      </c>
      <c r="AO157" s="204" t="e">
        <f t="shared" si="112"/>
        <v>#DIV/0!</v>
      </c>
      <c r="AP157" s="88"/>
      <c r="AQ157" s="97"/>
      <c r="AR157" s="98" t="e">
        <f t="shared" si="85"/>
        <v>#DIV/0!</v>
      </c>
      <c r="AS157" s="88"/>
      <c r="AT157" s="97"/>
      <c r="AU157" s="99" t="e">
        <f t="shared" si="86"/>
        <v>#DIV/0!</v>
      </c>
      <c r="AV157" s="86"/>
      <c r="AW157" s="86"/>
      <c r="AX157" s="100" t="e">
        <f t="shared" si="87"/>
        <v>#DIV/0!</v>
      </c>
      <c r="AY157" s="88">
        <f t="shared" si="129"/>
        <v>0</v>
      </c>
      <c r="AZ157" s="88">
        <f t="shared" si="129"/>
        <v>0</v>
      </c>
      <c r="BA157" s="204" t="e">
        <f t="shared" si="130"/>
        <v>#DIV/0!</v>
      </c>
      <c r="BB157" s="88"/>
      <c r="BC157" s="88"/>
      <c r="BD157" s="100" t="e">
        <f t="shared" si="88"/>
        <v>#DIV/0!</v>
      </c>
      <c r="BE157" s="88"/>
      <c r="BF157" s="88"/>
      <c r="BG157" s="100" t="e">
        <f t="shared" si="89"/>
        <v>#DIV/0!</v>
      </c>
      <c r="BH157" s="88"/>
      <c r="BI157" s="97"/>
      <c r="BJ157" s="99" t="e">
        <f t="shared" si="90"/>
        <v>#DIV/0!</v>
      </c>
      <c r="BK157" s="200">
        <f t="shared" si="131"/>
        <v>0</v>
      </c>
      <c r="BL157" s="200">
        <f t="shared" si="131"/>
        <v>0</v>
      </c>
      <c r="BM157" s="204" t="e">
        <f t="shared" si="132"/>
        <v>#DIV/0!</v>
      </c>
      <c r="BN157" s="97">
        <v>120000</v>
      </c>
      <c r="BO157" s="134">
        <f t="shared" si="91"/>
        <v>0.075</v>
      </c>
      <c r="BP157" s="197">
        <f t="shared" si="123"/>
        <v>640000</v>
      </c>
    </row>
    <row r="158" spans="1:68" s="78" customFormat="1" ht="13.5" thickBot="1">
      <c r="A158" s="83">
        <v>2</v>
      </c>
      <c r="B158" s="84">
        <v>3</v>
      </c>
      <c r="C158" s="84">
        <v>7</v>
      </c>
      <c r="D158" s="84">
        <v>1</v>
      </c>
      <c r="E158" s="85" t="s">
        <v>152</v>
      </c>
      <c r="F158" s="90" t="s">
        <v>15</v>
      </c>
      <c r="G158" s="88">
        <v>15000</v>
      </c>
      <c r="H158" s="88"/>
      <c r="I158" s="97"/>
      <c r="J158" s="138" t="e">
        <f t="shared" si="78"/>
        <v>#DIV/0!</v>
      </c>
      <c r="K158" s="148"/>
      <c r="L158" s="88"/>
      <c r="M158" s="89" t="e">
        <f t="shared" si="79"/>
        <v>#DIV/0!</v>
      </c>
      <c r="N158" s="88"/>
      <c r="O158" s="88">
        <v>0</v>
      </c>
      <c r="P158" s="89" t="e">
        <f t="shared" si="92"/>
        <v>#DIV/0!</v>
      </c>
      <c r="Q158" s="200">
        <f>N158+K158+H158</f>
        <v>0</v>
      </c>
      <c r="R158" s="200"/>
      <c r="S158" s="200"/>
      <c r="T158" s="200"/>
      <c r="U158" s="200"/>
      <c r="V158" s="200"/>
      <c r="W158" s="200">
        <v>1200</v>
      </c>
      <c r="X158" s="200">
        <v>0</v>
      </c>
      <c r="Y158" s="421"/>
      <c r="Z158" s="425"/>
      <c r="AA158" s="425">
        <v>0</v>
      </c>
      <c r="AB158" s="238">
        <f>+I158+L158+O158+S158+T158+U158+V158+W158+X158+Y158+Z158+AA158</f>
        <v>1200</v>
      </c>
      <c r="AC158" s="443" t="e">
        <f t="shared" si="96"/>
        <v>#DIV/0!</v>
      </c>
      <c r="AD158" s="88"/>
      <c r="AE158" s="97"/>
      <c r="AF158" s="89" t="e">
        <f t="shared" si="82"/>
        <v>#DIV/0!</v>
      </c>
      <c r="AG158" s="88"/>
      <c r="AH158" s="97"/>
      <c r="AI158" s="89" t="e">
        <f t="shared" si="83"/>
        <v>#DIV/0!</v>
      </c>
      <c r="AJ158" s="88"/>
      <c r="AK158" s="97"/>
      <c r="AL158" s="89" t="e">
        <f t="shared" si="84"/>
        <v>#DIV/0!</v>
      </c>
      <c r="AM158" s="200">
        <f t="shared" si="128"/>
        <v>0</v>
      </c>
      <c r="AN158" s="200">
        <f t="shared" si="128"/>
        <v>0</v>
      </c>
      <c r="AO158" s="204" t="e">
        <f t="shared" si="112"/>
        <v>#DIV/0!</v>
      </c>
      <c r="AP158" s="88"/>
      <c r="AQ158" s="97"/>
      <c r="AR158" s="98" t="e">
        <f t="shared" si="85"/>
        <v>#DIV/0!</v>
      </c>
      <c r="AS158" s="88"/>
      <c r="AT158" s="97"/>
      <c r="AU158" s="99" t="e">
        <f t="shared" si="86"/>
        <v>#DIV/0!</v>
      </c>
      <c r="AV158" s="86"/>
      <c r="AW158" s="86"/>
      <c r="AX158" s="100" t="e">
        <f t="shared" si="87"/>
        <v>#DIV/0!</v>
      </c>
      <c r="AY158" s="88">
        <f t="shared" si="129"/>
        <v>0</v>
      </c>
      <c r="AZ158" s="88">
        <f t="shared" si="129"/>
        <v>0</v>
      </c>
      <c r="BA158" s="204" t="e">
        <f t="shared" si="130"/>
        <v>#DIV/0!</v>
      </c>
      <c r="BB158" s="88"/>
      <c r="BC158" s="88"/>
      <c r="BD158" s="100" t="e">
        <f t="shared" si="88"/>
        <v>#DIV/0!</v>
      </c>
      <c r="BE158" s="88"/>
      <c r="BF158" s="88"/>
      <c r="BG158" s="100" t="e">
        <f t="shared" si="89"/>
        <v>#DIV/0!</v>
      </c>
      <c r="BH158" s="88"/>
      <c r="BI158" s="97"/>
      <c r="BJ158" s="99" t="e">
        <f t="shared" si="90"/>
        <v>#DIV/0!</v>
      </c>
      <c r="BK158" s="200">
        <f t="shared" si="131"/>
        <v>0</v>
      </c>
      <c r="BL158" s="200">
        <f t="shared" si="131"/>
        <v>0</v>
      </c>
      <c r="BM158" s="204" t="e">
        <f t="shared" si="132"/>
        <v>#DIV/0!</v>
      </c>
      <c r="BN158" s="97">
        <f>I158+L158+O158+AE158+AH158+AK158+AQ158+AT158+AW158+BC158+BF158+BI158</f>
        <v>0</v>
      </c>
      <c r="BO158" s="134">
        <f t="shared" si="91"/>
        <v>0</v>
      </c>
      <c r="BP158" s="197">
        <f t="shared" si="123"/>
        <v>13800</v>
      </c>
    </row>
    <row r="159" spans="1:68" s="78" customFormat="1" ht="13.5" thickBot="1">
      <c r="A159" s="83">
        <v>2</v>
      </c>
      <c r="B159" s="84">
        <v>3</v>
      </c>
      <c r="C159" s="84">
        <v>7</v>
      </c>
      <c r="D159" s="84">
        <v>1</v>
      </c>
      <c r="E159" s="85" t="s">
        <v>156</v>
      </c>
      <c r="F159" s="90" t="s">
        <v>47</v>
      </c>
      <c r="G159" s="88">
        <f>25000-1500-20000</f>
        <v>3500</v>
      </c>
      <c r="H159" s="88"/>
      <c r="I159" s="97"/>
      <c r="J159" s="138" t="e">
        <f aca="true" t="shared" si="133" ref="J159:J222">I159/H159</f>
        <v>#DIV/0!</v>
      </c>
      <c r="K159" s="148"/>
      <c r="L159" s="88"/>
      <c r="M159" s="89" t="e">
        <f aca="true" t="shared" si="134" ref="M159:M222">L159/K159</f>
        <v>#DIV/0!</v>
      </c>
      <c r="N159" s="88"/>
      <c r="O159" s="88"/>
      <c r="P159" s="89" t="e">
        <f aca="true" t="shared" si="135" ref="P159:P221">O159/N159</f>
        <v>#DIV/0!</v>
      </c>
      <c r="Q159" s="200">
        <f>N159+K159+H159</f>
        <v>0</v>
      </c>
      <c r="R159" s="200"/>
      <c r="S159" s="200"/>
      <c r="T159" s="200"/>
      <c r="U159" s="200"/>
      <c r="V159" s="200"/>
      <c r="W159" s="200">
        <v>0</v>
      </c>
      <c r="X159" s="200"/>
      <c r="Y159" s="421"/>
      <c r="Z159" s="425"/>
      <c r="AA159" s="425"/>
      <c r="AB159" s="238">
        <f>+I159+L159+O159+S159+T159+U159+V159+W159+X159+Y159+Z159+AA159</f>
        <v>0</v>
      </c>
      <c r="AC159" s="443" t="e">
        <f t="shared" si="96"/>
        <v>#DIV/0!</v>
      </c>
      <c r="AD159" s="88"/>
      <c r="AE159" s="97"/>
      <c r="AF159" s="89" t="e">
        <f aca="true" t="shared" si="136" ref="AF159:AF221">AE159/AD159</f>
        <v>#DIV/0!</v>
      </c>
      <c r="AG159" s="88"/>
      <c r="AH159" s="97"/>
      <c r="AI159" s="89" t="e">
        <f aca="true" t="shared" si="137" ref="AI159:AI221">AH159/AG159</f>
        <v>#DIV/0!</v>
      </c>
      <c r="AJ159" s="88"/>
      <c r="AK159" s="97"/>
      <c r="AL159" s="89" t="e">
        <f aca="true" t="shared" si="138" ref="AL159:AL221">AK159/AJ159</f>
        <v>#DIV/0!</v>
      </c>
      <c r="AM159" s="200">
        <f t="shared" si="128"/>
        <v>0</v>
      </c>
      <c r="AN159" s="200">
        <f t="shared" si="128"/>
        <v>0</v>
      </c>
      <c r="AO159" s="204" t="e">
        <f t="shared" si="112"/>
        <v>#DIV/0!</v>
      </c>
      <c r="AP159" s="88"/>
      <c r="AQ159" s="97"/>
      <c r="AR159" s="98" t="e">
        <f aca="true" t="shared" si="139" ref="AR159:AR219">AQ159/AP159</f>
        <v>#DIV/0!</v>
      </c>
      <c r="AS159" s="88"/>
      <c r="AT159" s="97"/>
      <c r="AU159" s="99" t="e">
        <f aca="true" t="shared" si="140" ref="AU159:AU221">AT159/AS159</f>
        <v>#DIV/0!</v>
      </c>
      <c r="AV159" s="86"/>
      <c r="AW159" s="86"/>
      <c r="AX159" s="100" t="e">
        <f aca="true" t="shared" si="141" ref="AX159:AX190">AW159/AV159</f>
        <v>#DIV/0!</v>
      </c>
      <c r="AY159" s="88">
        <f t="shared" si="129"/>
        <v>0</v>
      </c>
      <c r="AZ159" s="88">
        <f t="shared" si="129"/>
        <v>0</v>
      </c>
      <c r="BA159" s="204" t="e">
        <f t="shared" si="130"/>
        <v>#DIV/0!</v>
      </c>
      <c r="BB159" s="88"/>
      <c r="BC159" s="88"/>
      <c r="BD159" s="100" t="e">
        <f aca="true" t="shared" si="142" ref="BD159:BD221">BC159/BB159</f>
        <v>#DIV/0!</v>
      </c>
      <c r="BE159" s="88"/>
      <c r="BF159" s="88"/>
      <c r="BG159" s="100" t="e">
        <f aca="true" t="shared" si="143" ref="BG159:BG221">BF159/BE159</f>
        <v>#DIV/0!</v>
      </c>
      <c r="BH159" s="88"/>
      <c r="BI159" s="97"/>
      <c r="BJ159" s="99" t="e">
        <f aca="true" t="shared" si="144" ref="BJ159:BJ221">BI159/BH159</f>
        <v>#DIV/0!</v>
      </c>
      <c r="BK159" s="200">
        <f t="shared" si="131"/>
        <v>0</v>
      </c>
      <c r="BL159" s="200">
        <f t="shared" si="131"/>
        <v>0</v>
      </c>
      <c r="BM159" s="204" t="e">
        <f t="shared" si="132"/>
        <v>#DIV/0!</v>
      </c>
      <c r="BN159" s="97">
        <f>I159+L159+O159+AE159+AH159+AK159+AQ159+AT159+AW159+BC159+BF159+BI159</f>
        <v>0</v>
      </c>
      <c r="BO159" s="134">
        <f aca="true" t="shared" si="145" ref="BO159:BO221">BN159/G159</f>
        <v>0</v>
      </c>
      <c r="BP159" s="197">
        <f t="shared" si="123"/>
        <v>3500</v>
      </c>
    </row>
    <row r="160" spans="1:68" s="78" customFormat="1" ht="22.5" thickBot="1">
      <c r="A160" s="102">
        <v>2</v>
      </c>
      <c r="B160" s="103">
        <v>3</v>
      </c>
      <c r="C160" s="103">
        <v>7</v>
      </c>
      <c r="D160" s="103">
        <v>2</v>
      </c>
      <c r="E160" s="206"/>
      <c r="F160" s="155" t="s">
        <v>89</v>
      </c>
      <c r="G160" s="82">
        <f>+G161+G162</f>
        <v>231100</v>
      </c>
      <c r="H160" s="88"/>
      <c r="I160" s="97"/>
      <c r="J160" s="138"/>
      <c r="K160" s="148"/>
      <c r="L160" s="88"/>
      <c r="M160" s="89"/>
      <c r="N160" s="88"/>
      <c r="O160" s="88"/>
      <c r="P160" s="115"/>
      <c r="Q160" s="200"/>
      <c r="R160" s="200"/>
      <c r="S160" s="200"/>
      <c r="T160" s="200"/>
      <c r="U160" s="208">
        <f>+U161</f>
        <v>0</v>
      </c>
      <c r="V160" s="208">
        <f>+V161</f>
        <v>0</v>
      </c>
      <c r="W160" s="208">
        <f>+W161+W162</f>
        <v>1045</v>
      </c>
      <c r="X160" s="208">
        <f>+X161+X162</f>
        <v>14084.99</v>
      </c>
      <c r="Y160" s="421"/>
      <c r="Z160" s="425"/>
      <c r="AA160" s="425"/>
      <c r="AB160" s="232">
        <f>+AB161+AB162</f>
        <v>15129.99</v>
      </c>
      <c r="AC160" s="443"/>
      <c r="AD160" s="88"/>
      <c r="AE160" s="97"/>
      <c r="AF160" s="115"/>
      <c r="AG160" s="88"/>
      <c r="AH160" s="97"/>
      <c r="AI160" s="115"/>
      <c r="AJ160" s="88"/>
      <c r="AK160" s="97"/>
      <c r="AL160" s="115"/>
      <c r="AM160" s="200"/>
      <c r="AN160" s="200"/>
      <c r="AO160" s="204"/>
      <c r="AP160" s="88"/>
      <c r="AQ160" s="97"/>
      <c r="AR160" s="117"/>
      <c r="AS160" s="88"/>
      <c r="AT160" s="97"/>
      <c r="AU160" s="118"/>
      <c r="AV160" s="86"/>
      <c r="AW160" s="86"/>
      <c r="AX160" s="81"/>
      <c r="AY160" s="88"/>
      <c r="AZ160" s="88"/>
      <c r="BA160" s="204"/>
      <c r="BB160" s="88"/>
      <c r="BC160" s="88"/>
      <c r="BD160" s="81"/>
      <c r="BE160" s="88"/>
      <c r="BF160" s="88"/>
      <c r="BG160" s="81"/>
      <c r="BH160" s="88"/>
      <c r="BI160" s="97"/>
      <c r="BJ160" s="118"/>
      <c r="BK160" s="200"/>
      <c r="BL160" s="200"/>
      <c r="BM160" s="204"/>
      <c r="BN160" s="97"/>
      <c r="BO160" s="134"/>
      <c r="BP160" s="197">
        <f t="shared" si="123"/>
        <v>215970.01</v>
      </c>
    </row>
    <row r="161" spans="1:68" s="78" customFormat="1" ht="23.25" thickBot="1">
      <c r="A161" s="83">
        <v>2</v>
      </c>
      <c r="B161" s="84">
        <v>3</v>
      </c>
      <c r="C161" s="84">
        <v>7</v>
      </c>
      <c r="D161" s="84">
        <v>2</v>
      </c>
      <c r="E161" s="85" t="s">
        <v>153</v>
      </c>
      <c r="F161" s="90" t="s">
        <v>245</v>
      </c>
      <c r="G161" s="88">
        <v>80000</v>
      </c>
      <c r="H161" s="88"/>
      <c r="I161" s="97"/>
      <c r="J161" s="138"/>
      <c r="K161" s="148"/>
      <c r="L161" s="88"/>
      <c r="M161" s="89"/>
      <c r="N161" s="88"/>
      <c r="O161" s="88">
        <v>0</v>
      </c>
      <c r="P161" s="115"/>
      <c r="Q161" s="200"/>
      <c r="R161" s="200"/>
      <c r="S161" s="200"/>
      <c r="T161" s="200"/>
      <c r="U161" s="200">
        <v>0</v>
      </c>
      <c r="V161" s="200"/>
      <c r="W161" s="200"/>
      <c r="X161" s="200"/>
      <c r="Y161" s="421"/>
      <c r="Z161" s="425"/>
      <c r="AA161" s="425"/>
      <c r="AB161" s="238">
        <f>+I161+L161+O161+S161+T161+U161+V161+W161+X161+Y161+Z161+AA161</f>
        <v>0</v>
      </c>
      <c r="AC161" s="443"/>
      <c r="AD161" s="88"/>
      <c r="AE161" s="97"/>
      <c r="AF161" s="115"/>
      <c r="AG161" s="88"/>
      <c r="AH161" s="97"/>
      <c r="AI161" s="115"/>
      <c r="AJ161" s="88"/>
      <c r="AK161" s="97"/>
      <c r="AL161" s="115"/>
      <c r="AM161" s="200"/>
      <c r="AN161" s="200"/>
      <c r="AO161" s="204"/>
      <c r="AP161" s="88"/>
      <c r="AQ161" s="97"/>
      <c r="AR161" s="117"/>
      <c r="AS161" s="88"/>
      <c r="AT161" s="97"/>
      <c r="AU161" s="118"/>
      <c r="AV161" s="86"/>
      <c r="AW161" s="86"/>
      <c r="AX161" s="81"/>
      <c r="AY161" s="88"/>
      <c r="AZ161" s="88"/>
      <c r="BA161" s="204"/>
      <c r="BB161" s="88"/>
      <c r="BC161" s="88"/>
      <c r="BD161" s="81"/>
      <c r="BE161" s="88"/>
      <c r="BF161" s="88"/>
      <c r="BG161" s="81"/>
      <c r="BH161" s="88"/>
      <c r="BI161" s="97"/>
      <c r="BJ161" s="118"/>
      <c r="BK161" s="200"/>
      <c r="BL161" s="200"/>
      <c r="BM161" s="204"/>
      <c r="BN161" s="97"/>
      <c r="BO161" s="134"/>
      <c r="BP161" s="465">
        <f t="shared" si="123"/>
        <v>80000</v>
      </c>
    </row>
    <row r="162" spans="1:68" s="78" customFormat="1" ht="13.5" thickBot="1">
      <c r="A162" s="83">
        <v>2</v>
      </c>
      <c r="B162" s="84">
        <v>3</v>
      </c>
      <c r="C162" s="84">
        <v>7</v>
      </c>
      <c r="D162" s="84">
        <v>2</v>
      </c>
      <c r="E162" s="85" t="s">
        <v>254</v>
      </c>
      <c r="F162" s="90" t="s">
        <v>255</v>
      </c>
      <c r="G162" s="88">
        <f>150000+1100</f>
        <v>151100</v>
      </c>
      <c r="H162" s="88"/>
      <c r="I162" s="97"/>
      <c r="J162" s="138"/>
      <c r="K162" s="148"/>
      <c r="L162" s="88"/>
      <c r="M162" s="89"/>
      <c r="N162" s="88"/>
      <c r="O162" s="88"/>
      <c r="P162" s="115"/>
      <c r="Q162" s="200"/>
      <c r="R162" s="200"/>
      <c r="S162" s="200"/>
      <c r="T162" s="200"/>
      <c r="U162" s="200"/>
      <c r="V162" s="200"/>
      <c r="W162" s="200">
        <v>1045</v>
      </c>
      <c r="X162" s="200">
        <v>14084.99</v>
      </c>
      <c r="Y162" s="421"/>
      <c r="Z162" s="425"/>
      <c r="AA162" s="425"/>
      <c r="AB162" s="238">
        <f>+W162+X162+Y162+Z162+AA162</f>
        <v>15129.99</v>
      </c>
      <c r="AC162" s="443"/>
      <c r="AD162" s="88"/>
      <c r="AE162" s="97"/>
      <c r="AF162" s="115"/>
      <c r="AG162" s="88"/>
      <c r="AH162" s="97"/>
      <c r="AI162" s="115"/>
      <c r="AJ162" s="88"/>
      <c r="AK162" s="97"/>
      <c r="AL162" s="115"/>
      <c r="AM162" s="200"/>
      <c r="AN162" s="200"/>
      <c r="AO162" s="204"/>
      <c r="AP162" s="88"/>
      <c r="AQ162" s="97"/>
      <c r="AR162" s="117"/>
      <c r="AS162" s="88"/>
      <c r="AT162" s="97"/>
      <c r="AU162" s="118"/>
      <c r="AV162" s="86"/>
      <c r="AW162" s="86"/>
      <c r="AX162" s="81"/>
      <c r="AY162" s="88"/>
      <c r="AZ162" s="88"/>
      <c r="BA162" s="204"/>
      <c r="BB162" s="88"/>
      <c r="BC162" s="88"/>
      <c r="BD162" s="81"/>
      <c r="BE162" s="88"/>
      <c r="BF162" s="88"/>
      <c r="BG162" s="81"/>
      <c r="BH162" s="88"/>
      <c r="BI162" s="97"/>
      <c r="BJ162" s="118"/>
      <c r="BK162" s="200"/>
      <c r="BL162" s="200"/>
      <c r="BM162" s="204"/>
      <c r="BN162" s="97"/>
      <c r="BO162" s="464">
        <f>+G162-AB162</f>
        <v>135970.01</v>
      </c>
      <c r="BP162" s="465">
        <f t="shared" si="123"/>
        <v>135970.01</v>
      </c>
    </row>
    <row r="163" spans="1:68" s="78" customFormat="1" ht="13.5" thickBot="1">
      <c r="A163" s="83"/>
      <c r="B163" s="84"/>
      <c r="C163" s="84"/>
      <c r="D163" s="84"/>
      <c r="E163" s="85"/>
      <c r="F163" s="90"/>
      <c r="G163" s="88"/>
      <c r="H163" s="88"/>
      <c r="I163" s="97"/>
      <c r="J163" s="138"/>
      <c r="K163" s="148"/>
      <c r="L163" s="88"/>
      <c r="M163" s="89"/>
      <c r="N163" s="88"/>
      <c r="O163" s="88"/>
      <c r="P163" s="115"/>
      <c r="Q163" s="200"/>
      <c r="R163" s="200"/>
      <c r="S163" s="200"/>
      <c r="T163" s="200"/>
      <c r="U163" s="200"/>
      <c r="V163" s="200"/>
      <c r="W163" s="200"/>
      <c r="X163" s="200"/>
      <c r="Y163" s="421"/>
      <c r="Z163" s="425"/>
      <c r="AA163" s="425"/>
      <c r="AB163" s="238"/>
      <c r="AC163" s="443"/>
      <c r="AD163" s="88"/>
      <c r="AE163" s="97"/>
      <c r="AF163" s="115"/>
      <c r="AG163" s="88"/>
      <c r="AH163" s="97"/>
      <c r="AI163" s="115"/>
      <c r="AJ163" s="88"/>
      <c r="AK163" s="97"/>
      <c r="AL163" s="115"/>
      <c r="AM163" s="200"/>
      <c r="AN163" s="200"/>
      <c r="AO163" s="204"/>
      <c r="AP163" s="88"/>
      <c r="AQ163" s="97"/>
      <c r="AR163" s="117"/>
      <c r="AS163" s="88"/>
      <c r="AT163" s="97"/>
      <c r="AU163" s="118"/>
      <c r="AV163" s="86"/>
      <c r="AW163" s="86"/>
      <c r="AX163" s="81"/>
      <c r="AY163" s="88"/>
      <c r="AZ163" s="88"/>
      <c r="BA163" s="204"/>
      <c r="BB163" s="88"/>
      <c r="BC163" s="88"/>
      <c r="BD163" s="81"/>
      <c r="BE163" s="88"/>
      <c r="BF163" s="88"/>
      <c r="BG163" s="81"/>
      <c r="BH163" s="88"/>
      <c r="BI163" s="97"/>
      <c r="BJ163" s="118"/>
      <c r="BK163" s="200"/>
      <c r="BL163" s="200"/>
      <c r="BM163" s="204"/>
      <c r="BN163" s="97"/>
      <c r="BO163" s="464"/>
      <c r="BP163" s="465"/>
    </row>
    <row r="164" spans="1:68" s="76" customFormat="1" ht="13.5" thickBot="1">
      <c r="A164" s="102">
        <v>2</v>
      </c>
      <c r="B164" s="103">
        <v>3</v>
      </c>
      <c r="C164" s="103">
        <v>9</v>
      </c>
      <c r="D164" s="84"/>
      <c r="E164" s="104"/>
      <c r="F164" s="155" t="s">
        <v>165</v>
      </c>
      <c r="G164" s="82">
        <f>SUM(G165:G173)</f>
        <v>470000</v>
      </c>
      <c r="H164" s="82">
        <f>SUM(H165:H171)</f>
        <v>0</v>
      </c>
      <c r="I164" s="131">
        <f>SUM(I165:I171)</f>
        <v>0</v>
      </c>
      <c r="J164" s="138" t="e">
        <f t="shared" si="133"/>
        <v>#DIV/0!</v>
      </c>
      <c r="K164" s="203">
        <f>SUM(K165:K171)</f>
        <v>0</v>
      </c>
      <c r="L164" s="82">
        <f>SUM(L165:L171)</f>
        <v>24620.7</v>
      </c>
      <c r="M164" s="89" t="e">
        <f t="shared" si="134"/>
        <v>#DIV/0!</v>
      </c>
      <c r="N164" s="82">
        <f aca="true" t="shared" si="146" ref="N164:BN164">SUM(N165:N171)</f>
        <v>0</v>
      </c>
      <c r="O164" s="82">
        <f t="shared" si="146"/>
        <v>56840.37</v>
      </c>
      <c r="P164" s="82" t="e">
        <f t="shared" si="146"/>
        <v>#DIV/0!</v>
      </c>
      <c r="Q164" s="82">
        <f t="shared" si="146"/>
        <v>0</v>
      </c>
      <c r="R164" s="82">
        <f t="shared" si="146"/>
        <v>0</v>
      </c>
      <c r="S164" s="82">
        <f t="shared" si="146"/>
        <v>28146.280000000002</v>
      </c>
      <c r="T164" s="82">
        <f t="shared" si="146"/>
        <v>36637.24</v>
      </c>
      <c r="U164" s="82">
        <f t="shared" si="146"/>
        <v>31960.52</v>
      </c>
      <c r="V164" s="82">
        <f t="shared" si="146"/>
        <v>36040.28</v>
      </c>
      <c r="W164" s="82">
        <f>SUM(W165:W173)</f>
        <v>154796.64</v>
      </c>
      <c r="X164" s="82">
        <f>SUM(X165:X173)</f>
        <v>5005.01</v>
      </c>
      <c r="Y164" s="131">
        <f t="shared" si="146"/>
        <v>0</v>
      </c>
      <c r="Z164" s="426">
        <f>SUM(Z165:Z173)</f>
        <v>0</v>
      </c>
      <c r="AA164" s="426">
        <f t="shared" si="146"/>
        <v>0</v>
      </c>
      <c r="AB164" s="232">
        <f>AB165+AB166+AB167+AB168+AB169+AB170+AB171+AB173+AB172</f>
        <v>374047.04</v>
      </c>
      <c r="AC164" s="203" t="e">
        <f t="shared" si="146"/>
        <v>#DIV/0!</v>
      </c>
      <c r="AD164" s="82">
        <f t="shared" si="146"/>
        <v>0</v>
      </c>
      <c r="AE164" s="82">
        <f t="shared" si="146"/>
        <v>0</v>
      </c>
      <c r="AF164" s="82" t="e">
        <f t="shared" si="146"/>
        <v>#DIV/0!</v>
      </c>
      <c r="AG164" s="82">
        <f t="shared" si="146"/>
        <v>0</v>
      </c>
      <c r="AH164" s="82">
        <f t="shared" si="146"/>
        <v>0</v>
      </c>
      <c r="AI164" s="82" t="e">
        <f t="shared" si="146"/>
        <v>#DIV/0!</v>
      </c>
      <c r="AJ164" s="82">
        <f t="shared" si="146"/>
        <v>0</v>
      </c>
      <c r="AK164" s="82">
        <f t="shared" si="146"/>
        <v>0</v>
      </c>
      <c r="AL164" s="82" t="e">
        <f t="shared" si="146"/>
        <v>#DIV/0!</v>
      </c>
      <c r="AM164" s="82">
        <f t="shared" si="146"/>
        <v>0</v>
      </c>
      <c r="AN164" s="82">
        <f t="shared" si="146"/>
        <v>0</v>
      </c>
      <c r="AO164" s="82" t="e">
        <f t="shared" si="146"/>
        <v>#DIV/0!</v>
      </c>
      <c r="AP164" s="82">
        <f t="shared" si="146"/>
        <v>0</v>
      </c>
      <c r="AQ164" s="82">
        <f t="shared" si="146"/>
        <v>0</v>
      </c>
      <c r="AR164" s="82" t="e">
        <f t="shared" si="146"/>
        <v>#DIV/0!</v>
      </c>
      <c r="AS164" s="82">
        <f t="shared" si="146"/>
        <v>0</v>
      </c>
      <c r="AT164" s="82">
        <f t="shared" si="146"/>
        <v>0</v>
      </c>
      <c r="AU164" s="82" t="e">
        <f t="shared" si="146"/>
        <v>#DIV/0!</v>
      </c>
      <c r="AV164" s="82">
        <f t="shared" si="146"/>
        <v>0</v>
      </c>
      <c r="AW164" s="82">
        <f t="shared" si="146"/>
        <v>0</v>
      </c>
      <c r="AX164" s="82" t="e">
        <f t="shared" si="146"/>
        <v>#DIV/0!</v>
      </c>
      <c r="AY164" s="82">
        <f t="shared" si="146"/>
        <v>0</v>
      </c>
      <c r="AZ164" s="82">
        <f t="shared" si="146"/>
        <v>0</v>
      </c>
      <c r="BA164" s="82" t="e">
        <f t="shared" si="146"/>
        <v>#DIV/0!</v>
      </c>
      <c r="BB164" s="82">
        <f t="shared" si="146"/>
        <v>0</v>
      </c>
      <c r="BC164" s="82">
        <f t="shared" si="146"/>
        <v>0</v>
      </c>
      <c r="BD164" s="82" t="e">
        <f t="shared" si="146"/>
        <v>#DIV/0!</v>
      </c>
      <c r="BE164" s="82">
        <f t="shared" si="146"/>
        <v>0</v>
      </c>
      <c r="BF164" s="82">
        <f t="shared" si="146"/>
        <v>0</v>
      </c>
      <c r="BG164" s="82" t="e">
        <f t="shared" si="146"/>
        <v>#DIV/0!</v>
      </c>
      <c r="BH164" s="82">
        <f t="shared" si="146"/>
        <v>0</v>
      </c>
      <c r="BI164" s="82">
        <f t="shared" si="146"/>
        <v>0</v>
      </c>
      <c r="BJ164" s="82" t="e">
        <f t="shared" si="146"/>
        <v>#DIV/0!</v>
      </c>
      <c r="BK164" s="82">
        <f t="shared" si="146"/>
        <v>0</v>
      </c>
      <c r="BL164" s="82">
        <f t="shared" si="146"/>
        <v>0</v>
      </c>
      <c r="BM164" s="82" t="e">
        <f t="shared" si="146"/>
        <v>#DIV/0!</v>
      </c>
      <c r="BN164" s="82">
        <f t="shared" si="146"/>
        <v>58188.91</v>
      </c>
      <c r="BO164" s="134">
        <f t="shared" si="145"/>
        <v>0.12380619148936171</v>
      </c>
      <c r="BP164" s="197">
        <f t="shared" si="123"/>
        <v>95952.96000000002</v>
      </c>
    </row>
    <row r="165" spans="1:68" ht="13.5" thickBot="1">
      <c r="A165" s="102">
        <v>2</v>
      </c>
      <c r="B165" s="103">
        <v>3</v>
      </c>
      <c r="C165" s="103">
        <v>9</v>
      </c>
      <c r="D165" s="103">
        <v>1</v>
      </c>
      <c r="E165" s="202" t="s">
        <v>261</v>
      </c>
      <c r="F165" s="155" t="s">
        <v>48</v>
      </c>
      <c r="G165" s="88">
        <v>80000</v>
      </c>
      <c r="H165" s="82"/>
      <c r="I165" s="131"/>
      <c r="J165" s="138" t="e">
        <f t="shared" si="133"/>
        <v>#DIV/0!</v>
      </c>
      <c r="K165" s="203"/>
      <c r="L165" s="88">
        <v>389.4</v>
      </c>
      <c r="M165" s="89" t="e">
        <f t="shared" si="134"/>
        <v>#DIV/0!</v>
      </c>
      <c r="N165" s="82"/>
      <c r="O165" s="82"/>
      <c r="P165" s="89" t="e">
        <f t="shared" si="135"/>
        <v>#DIV/0!</v>
      </c>
      <c r="Q165" s="200">
        <f aca="true" t="shared" si="147" ref="Q165:Q171">N165+K165+H165</f>
        <v>0</v>
      </c>
      <c r="R165" s="200"/>
      <c r="S165" s="200">
        <v>1010.08</v>
      </c>
      <c r="T165" s="200">
        <v>0</v>
      </c>
      <c r="U165" s="200">
        <v>573.3</v>
      </c>
      <c r="V165" s="200"/>
      <c r="W165" s="200">
        <f>1970+109.74+286.98</f>
        <v>2366.72</v>
      </c>
      <c r="X165" s="200"/>
      <c r="Y165" s="421"/>
      <c r="Z165" s="425">
        <v>0</v>
      </c>
      <c r="AA165" s="425">
        <v>0</v>
      </c>
      <c r="AB165" s="238">
        <f aca="true" t="shared" si="148" ref="AB165:AB173">+I165+L165+O165+S165+T165+U165+V165+W165+X165+Y165+Z165+AA165</f>
        <v>4339.5</v>
      </c>
      <c r="AC165" s="443" t="e">
        <f t="shared" si="96"/>
        <v>#DIV/0!</v>
      </c>
      <c r="AD165" s="82"/>
      <c r="AE165" s="131"/>
      <c r="AF165" s="89" t="e">
        <f t="shared" si="136"/>
        <v>#DIV/0!</v>
      </c>
      <c r="AG165" s="82"/>
      <c r="AH165" s="131"/>
      <c r="AI165" s="89" t="e">
        <f t="shared" si="137"/>
        <v>#DIV/0!</v>
      </c>
      <c r="AJ165" s="82"/>
      <c r="AK165" s="131"/>
      <c r="AL165" s="89" t="e">
        <f t="shared" si="138"/>
        <v>#DIV/0!</v>
      </c>
      <c r="AM165" s="200">
        <f aca="true" t="shared" si="149" ref="AM165:AM171">AJ165+AG165+AD165</f>
        <v>0</v>
      </c>
      <c r="AN165" s="200">
        <f aca="true" t="shared" si="150" ref="AN165:AN171">AK165+AH165+AE165</f>
        <v>0</v>
      </c>
      <c r="AO165" s="204" t="e">
        <f t="shared" si="112"/>
        <v>#DIV/0!</v>
      </c>
      <c r="AP165" s="82"/>
      <c r="AQ165" s="131"/>
      <c r="AR165" s="98" t="e">
        <f t="shared" si="139"/>
        <v>#DIV/0!</v>
      </c>
      <c r="AS165" s="82"/>
      <c r="AT165" s="131"/>
      <c r="AU165" s="99" t="e">
        <f t="shared" si="140"/>
        <v>#DIV/0!</v>
      </c>
      <c r="AV165" s="87"/>
      <c r="AW165" s="87"/>
      <c r="AX165" s="100" t="e">
        <f t="shared" si="141"/>
        <v>#DIV/0!</v>
      </c>
      <c r="AY165" s="88">
        <f aca="true" t="shared" si="151" ref="AY165:AY171">AV165+AS165+AP165</f>
        <v>0</v>
      </c>
      <c r="AZ165" s="88">
        <f aca="true" t="shared" si="152" ref="AZ165:AZ171">AW165+AT165+AQ165</f>
        <v>0</v>
      </c>
      <c r="BA165" s="204" t="e">
        <f t="shared" si="130"/>
        <v>#DIV/0!</v>
      </c>
      <c r="BB165" s="82"/>
      <c r="BC165" s="82"/>
      <c r="BD165" s="100" t="e">
        <f t="shared" si="142"/>
        <v>#DIV/0!</v>
      </c>
      <c r="BE165" s="82"/>
      <c r="BF165" s="82"/>
      <c r="BG165" s="100" t="e">
        <f t="shared" si="143"/>
        <v>#DIV/0!</v>
      </c>
      <c r="BH165" s="82"/>
      <c r="BI165" s="131"/>
      <c r="BJ165" s="99" t="e">
        <f t="shared" si="144"/>
        <v>#DIV/0!</v>
      </c>
      <c r="BK165" s="200">
        <f aca="true" t="shared" si="153" ref="BK165:BK171">BH165+BE165+BB165</f>
        <v>0</v>
      </c>
      <c r="BL165" s="200">
        <f aca="true" t="shared" si="154" ref="BL165:BL171">BI165+BF165+BC165</f>
        <v>0</v>
      </c>
      <c r="BM165" s="204" t="e">
        <f t="shared" si="132"/>
        <v>#DIV/0!</v>
      </c>
      <c r="BN165" s="97">
        <v>19913.68</v>
      </c>
      <c r="BO165" s="134">
        <f t="shared" si="145"/>
        <v>0.248921</v>
      </c>
      <c r="BP165" s="197">
        <f t="shared" si="123"/>
        <v>75660.5</v>
      </c>
    </row>
    <row r="166" spans="1:68" ht="22.5" thickBot="1">
      <c r="A166" s="120">
        <v>2</v>
      </c>
      <c r="B166" s="121">
        <v>3</v>
      </c>
      <c r="C166" s="121">
        <v>9</v>
      </c>
      <c r="D166" s="121">
        <v>2</v>
      </c>
      <c r="E166" s="229" t="s">
        <v>261</v>
      </c>
      <c r="F166" s="154" t="s">
        <v>148</v>
      </c>
      <c r="G166" s="110">
        <f>150000+100000</f>
        <v>250000</v>
      </c>
      <c r="H166" s="124"/>
      <c r="I166" s="133"/>
      <c r="J166" s="139" t="e">
        <f t="shared" si="133"/>
        <v>#DIV/0!</v>
      </c>
      <c r="K166" s="230"/>
      <c r="L166" s="110">
        <v>24231.3</v>
      </c>
      <c r="M166" s="101" t="e">
        <f t="shared" si="134"/>
        <v>#DIV/0!</v>
      </c>
      <c r="N166" s="124"/>
      <c r="O166" s="110">
        <f>6174.98+1170+8424.59+38470.8</f>
        <v>54240.37</v>
      </c>
      <c r="P166" s="101" t="e">
        <f t="shared" si="135"/>
        <v>#DIV/0!</v>
      </c>
      <c r="Q166" s="209">
        <f t="shared" si="147"/>
        <v>0</v>
      </c>
      <c r="R166" s="209"/>
      <c r="S166" s="209">
        <f>7400+19736.2</f>
        <v>27136.2</v>
      </c>
      <c r="T166" s="209">
        <v>36637.24</v>
      </c>
      <c r="U166" s="209">
        <v>27087.84</v>
      </c>
      <c r="V166" s="209">
        <f>23010+3300+9730.28</f>
        <v>36040.28</v>
      </c>
      <c r="W166" s="209">
        <f>23493.8+4168+2182.32+5037.8</f>
        <v>34881.92</v>
      </c>
      <c r="X166" s="209">
        <f>1000+3540</f>
        <v>4540</v>
      </c>
      <c r="Y166" s="422">
        <v>0</v>
      </c>
      <c r="Z166" s="425">
        <v>0</v>
      </c>
      <c r="AA166" s="425">
        <v>0</v>
      </c>
      <c r="AB166" s="238">
        <f>+I166+L166+O166+S166+T166+U166+V166+W166+X166+Y166+Z166+AA166</f>
        <v>244795.14999999997</v>
      </c>
      <c r="AC166" s="445" t="e">
        <f aca="true" t="shared" si="155" ref="AC166:AC221">AB166/Q166</f>
        <v>#DIV/0!</v>
      </c>
      <c r="AD166" s="124"/>
      <c r="AE166" s="133"/>
      <c r="AF166" s="101" t="e">
        <f t="shared" si="136"/>
        <v>#DIV/0!</v>
      </c>
      <c r="AG166" s="124"/>
      <c r="AH166" s="133"/>
      <c r="AI166" s="101" t="e">
        <f t="shared" si="137"/>
        <v>#DIV/0!</v>
      </c>
      <c r="AJ166" s="124"/>
      <c r="AK166" s="133"/>
      <c r="AL166" s="101" t="e">
        <f t="shared" si="138"/>
        <v>#DIV/0!</v>
      </c>
      <c r="AM166" s="209">
        <f t="shared" si="149"/>
        <v>0</v>
      </c>
      <c r="AN166" s="209">
        <f t="shared" si="150"/>
        <v>0</v>
      </c>
      <c r="AO166" s="210" t="e">
        <f t="shared" si="112"/>
        <v>#DIV/0!</v>
      </c>
      <c r="AP166" s="124"/>
      <c r="AQ166" s="133"/>
      <c r="AR166" s="98" t="e">
        <f t="shared" si="139"/>
        <v>#DIV/0!</v>
      </c>
      <c r="AS166" s="124"/>
      <c r="AT166" s="133"/>
      <c r="AU166" s="108" t="e">
        <f t="shared" si="140"/>
        <v>#DIV/0!</v>
      </c>
      <c r="AV166" s="123"/>
      <c r="AW166" s="123"/>
      <c r="AX166" s="109" t="e">
        <f t="shared" si="141"/>
        <v>#DIV/0!</v>
      </c>
      <c r="AY166" s="110">
        <f t="shared" si="151"/>
        <v>0</v>
      </c>
      <c r="AZ166" s="110">
        <f t="shared" si="152"/>
        <v>0</v>
      </c>
      <c r="BA166" s="210" t="e">
        <f t="shared" si="130"/>
        <v>#DIV/0!</v>
      </c>
      <c r="BB166" s="124"/>
      <c r="BC166" s="124"/>
      <c r="BD166" s="109" t="e">
        <f t="shared" si="142"/>
        <v>#DIV/0!</v>
      </c>
      <c r="BE166" s="124"/>
      <c r="BF166" s="124"/>
      <c r="BG166" s="109" t="e">
        <f t="shared" si="143"/>
        <v>#DIV/0!</v>
      </c>
      <c r="BH166" s="124"/>
      <c r="BI166" s="133"/>
      <c r="BJ166" s="108" t="e">
        <f t="shared" si="144"/>
        <v>#DIV/0!</v>
      </c>
      <c r="BK166" s="209">
        <f t="shared" si="153"/>
        <v>0</v>
      </c>
      <c r="BL166" s="209">
        <f t="shared" si="154"/>
        <v>0</v>
      </c>
      <c r="BM166" s="210" t="e">
        <f t="shared" si="132"/>
        <v>#DIV/0!</v>
      </c>
      <c r="BN166" s="132">
        <v>35675.23</v>
      </c>
      <c r="BO166" s="135">
        <f t="shared" si="145"/>
        <v>0.14270092</v>
      </c>
      <c r="BP166" s="197">
        <f t="shared" si="123"/>
        <v>5204.850000000035</v>
      </c>
    </row>
    <row r="167" spans="1:68" ht="22.5" thickBot="1">
      <c r="A167" s="103">
        <v>2</v>
      </c>
      <c r="B167" s="103">
        <v>3</v>
      </c>
      <c r="C167" s="103">
        <v>9</v>
      </c>
      <c r="D167" s="103">
        <v>4</v>
      </c>
      <c r="E167" s="103"/>
      <c r="F167" s="231" t="s">
        <v>145</v>
      </c>
      <c r="G167" s="238">
        <v>5000</v>
      </c>
      <c r="H167" s="232"/>
      <c r="I167" s="232"/>
      <c r="J167" s="233" t="e">
        <f t="shared" si="133"/>
        <v>#DIV/0!</v>
      </c>
      <c r="K167" s="232"/>
      <c r="L167" s="232"/>
      <c r="M167" s="234" t="e">
        <f t="shared" si="134"/>
        <v>#DIV/0!</v>
      </c>
      <c r="N167" s="232"/>
      <c r="O167" s="232">
        <v>0</v>
      </c>
      <c r="P167" s="234" t="e">
        <f t="shared" si="135"/>
        <v>#DIV/0!</v>
      </c>
      <c r="Q167" s="235">
        <f t="shared" si="147"/>
        <v>0</v>
      </c>
      <c r="R167" s="235"/>
      <c r="S167" s="235"/>
      <c r="T167" s="235"/>
      <c r="U167" s="235"/>
      <c r="V167" s="235"/>
      <c r="W167" s="235"/>
      <c r="X167" s="235"/>
      <c r="Y167" s="425"/>
      <c r="Z167" s="425"/>
      <c r="AA167" s="425"/>
      <c r="AB167" s="238">
        <f t="shared" si="148"/>
        <v>0</v>
      </c>
      <c r="AC167" s="448" t="e">
        <f t="shared" si="155"/>
        <v>#DIV/0!</v>
      </c>
      <c r="AD167" s="232"/>
      <c r="AE167" s="232"/>
      <c r="AF167" s="234" t="e">
        <f t="shared" si="136"/>
        <v>#DIV/0!</v>
      </c>
      <c r="AG167" s="232"/>
      <c r="AH167" s="232"/>
      <c r="AI167" s="234" t="e">
        <f t="shared" si="137"/>
        <v>#DIV/0!</v>
      </c>
      <c r="AJ167" s="232"/>
      <c r="AK167" s="232"/>
      <c r="AL167" s="234" t="e">
        <f t="shared" si="138"/>
        <v>#DIV/0!</v>
      </c>
      <c r="AM167" s="235">
        <f t="shared" si="149"/>
        <v>0</v>
      </c>
      <c r="AN167" s="235">
        <f t="shared" si="150"/>
        <v>0</v>
      </c>
      <c r="AO167" s="236" t="e">
        <f t="shared" si="112"/>
        <v>#DIV/0!</v>
      </c>
      <c r="AP167" s="232"/>
      <c r="AQ167" s="232"/>
      <c r="AR167" s="237" t="e">
        <f t="shared" si="139"/>
        <v>#DIV/0!</v>
      </c>
      <c r="AS167" s="232"/>
      <c r="AT167" s="232"/>
      <c r="AU167" s="232" t="e">
        <f t="shared" si="140"/>
        <v>#DIV/0!</v>
      </c>
      <c r="AV167" s="103"/>
      <c r="AW167" s="103"/>
      <c r="AX167" s="232" t="e">
        <f t="shared" si="141"/>
        <v>#DIV/0!</v>
      </c>
      <c r="AY167" s="238">
        <f t="shared" si="151"/>
        <v>0</v>
      </c>
      <c r="AZ167" s="238">
        <f t="shared" si="152"/>
        <v>0</v>
      </c>
      <c r="BA167" s="236" t="e">
        <f t="shared" si="130"/>
        <v>#DIV/0!</v>
      </c>
      <c r="BB167" s="232"/>
      <c r="BC167" s="232"/>
      <c r="BD167" s="232" t="e">
        <f t="shared" si="142"/>
        <v>#DIV/0!</v>
      </c>
      <c r="BE167" s="232"/>
      <c r="BF167" s="232"/>
      <c r="BG167" s="232" t="e">
        <f t="shared" si="143"/>
        <v>#DIV/0!</v>
      </c>
      <c r="BH167" s="232"/>
      <c r="BI167" s="232"/>
      <c r="BJ167" s="232" t="e">
        <f t="shared" si="144"/>
        <v>#DIV/0!</v>
      </c>
      <c r="BK167" s="235">
        <f t="shared" si="153"/>
        <v>0</v>
      </c>
      <c r="BL167" s="235">
        <f t="shared" si="154"/>
        <v>0</v>
      </c>
      <c r="BM167" s="236" t="e">
        <f t="shared" si="132"/>
        <v>#DIV/0!</v>
      </c>
      <c r="BN167" s="238">
        <f>I167+L167+O167+AE167+AH167+AK167+AQ167+AT167+AW167+BC167+BF167+BI167</f>
        <v>0</v>
      </c>
      <c r="BO167" s="234">
        <f t="shared" si="145"/>
        <v>0</v>
      </c>
      <c r="BP167" s="197">
        <f t="shared" si="123"/>
        <v>5000</v>
      </c>
    </row>
    <row r="168" spans="1:68" ht="13.5" thickBot="1">
      <c r="A168" s="240">
        <v>2</v>
      </c>
      <c r="B168" s="241">
        <v>3</v>
      </c>
      <c r="C168" s="241">
        <v>9</v>
      </c>
      <c r="D168" s="241">
        <v>5</v>
      </c>
      <c r="E168" s="242"/>
      <c r="F168" s="243" t="s">
        <v>146</v>
      </c>
      <c r="G168" s="251">
        <v>15000</v>
      </c>
      <c r="H168" s="244"/>
      <c r="I168" s="245"/>
      <c r="J168" s="246" t="e">
        <f t="shared" si="133"/>
        <v>#DIV/0!</v>
      </c>
      <c r="K168" s="247"/>
      <c r="L168" s="244"/>
      <c r="M168" s="119" t="e">
        <f t="shared" si="134"/>
        <v>#DIV/0!</v>
      </c>
      <c r="N168" s="244"/>
      <c r="O168" s="244">
        <v>0</v>
      </c>
      <c r="P168" s="119" t="e">
        <f t="shared" si="135"/>
        <v>#DIV/0!</v>
      </c>
      <c r="Q168" s="248">
        <f t="shared" si="147"/>
        <v>0</v>
      </c>
      <c r="R168" s="248"/>
      <c r="S168" s="248">
        <v>0</v>
      </c>
      <c r="T168" s="248"/>
      <c r="U168" s="248"/>
      <c r="V168" s="248"/>
      <c r="W168" s="248">
        <v>6132</v>
      </c>
      <c r="X168" s="248">
        <v>0</v>
      </c>
      <c r="Y168" s="430"/>
      <c r="Z168" s="425"/>
      <c r="AA168" s="425">
        <v>0</v>
      </c>
      <c r="AB168" s="238">
        <f t="shared" si="148"/>
        <v>6132</v>
      </c>
      <c r="AC168" s="449" t="e">
        <f t="shared" si="155"/>
        <v>#DIV/0!</v>
      </c>
      <c r="AD168" s="244"/>
      <c r="AE168" s="245"/>
      <c r="AF168" s="119" t="e">
        <f t="shared" si="136"/>
        <v>#DIV/0!</v>
      </c>
      <c r="AG168" s="244"/>
      <c r="AH168" s="245"/>
      <c r="AI168" s="119" t="e">
        <f t="shared" si="137"/>
        <v>#DIV/0!</v>
      </c>
      <c r="AJ168" s="244"/>
      <c r="AK168" s="245"/>
      <c r="AL168" s="119" t="e">
        <f t="shared" si="138"/>
        <v>#DIV/0!</v>
      </c>
      <c r="AM168" s="248">
        <f t="shared" si="149"/>
        <v>0</v>
      </c>
      <c r="AN168" s="248">
        <f t="shared" si="150"/>
        <v>0</v>
      </c>
      <c r="AO168" s="249" t="e">
        <f t="shared" si="112"/>
        <v>#DIV/0!</v>
      </c>
      <c r="AP168" s="244"/>
      <c r="AQ168" s="245"/>
      <c r="AR168" s="117" t="e">
        <f t="shared" si="139"/>
        <v>#DIV/0!</v>
      </c>
      <c r="AS168" s="244"/>
      <c r="AT168" s="245"/>
      <c r="AU168" s="245" t="e">
        <f t="shared" si="140"/>
        <v>#DIV/0!</v>
      </c>
      <c r="AV168" s="250"/>
      <c r="AW168" s="250"/>
      <c r="AX168" s="244" t="e">
        <f t="shared" si="141"/>
        <v>#DIV/0!</v>
      </c>
      <c r="AY168" s="251">
        <f t="shared" si="151"/>
        <v>0</v>
      </c>
      <c r="AZ168" s="251">
        <f t="shared" si="152"/>
        <v>0</v>
      </c>
      <c r="BA168" s="249" t="e">
        <f t="shared" si="130"/>
        <v>#DIV/0!</v>
      </c>
      <c r="BB168" s="244"/>
      <c r="BC168" s="244"/>
      <c r="BD168" s="244" t="e">
        <f t="shared" si="142"/>
        <v>#DIV/0!</v>
      </c>
      <c r="BE168" s="244"/>
      <c r="BF168" s="244"/>
      <c r="BG168" s="244" t="e">
        <f t="shared" si="143"/>
        <v>#DIV/0!</v>
      </c>
      <c r="BH168" s="244"/>
      <c r="BI168" s="245"/>
      <c r="BJ168" s="245" t="e">
        <f t="shared" si="144"/>
        <v>#DIV/0!</v>
      </c>
      <c r="BK168" s="248">
        <f t="shared" si="153"/>
        <v>0</v>
      </c>
      <c r="BL168" s="248">
        <f t="shared" si="154"/>
        <v>0</v>
      </c>
      <c r="BM168" s="249" t="e">
        <f t="shared" si="132"/>
        <v>#DIV/0!</v>
      </c>
      <c r="BN168" s="252">
        <f>I168+L168+O168+AE168+AH168+AK168+AQ168+AT168+AW168+BC168+BF168+BI168</f>
        <v>0</v>
      </c>
      <c r="BO168" s="119">
        <f t="shared" si="145"/>
        <v>0</v>
      </c>
      <c r="BP168" s="197">
        <f t="shared" si="123"/>
        <v>8868</v>
      </c>
    </row>
    <row r="169" spans="1:68" ht="13.5" thickBot="1">
      <c r="A169" s="120">
        <v>2</v>
      </c>
      <c r="B169" s="121">
        <v>3</v>
      </c>
      <c r="C169" s="121">
        <v>9</v>
      </c>
      <c r="D169" s="121">
        <v>6</v>
      </c>
      <c r="E169" s="229"/>
      <c r="F169" s="154" t="s">
        <v>133</v>
      </c>
      <c r="G169" s="110">
        <v>25000</v>
      </c>
      <c r="H169" s="124"/>
      <c r="I169" s="133"/>
      <c r="J169" s="139" t="e">
        <f t="shared" si="133"/>
        <v>#DIV/0!</v>
      </c>
      <c r="K169" s="230"/>
      <c r="L169" s="124"/>
      <c r="M169" s="135" t="e">
        <f t="shared" si="134"/>
        <v>#DIV/0!</v>
      </c>
      <c r="N169" s="124"/>
      <c r="O169" s="110">
        <v>2600</v>
      </c>
      <c r="P169" s="135" t="e">
        <f t="shared" si="135"/>
        <v>#DIV/0!</v>
      </c>
      <c r="Q169" s="209">
        <f t="shared" si="147"/>
        <v>0</v>
      </c>
      <c r="R169" s="209"/>
      <c r="S169" s="209">
        <v>0</v>
      </c>
      <c r="T169" s="209"/>
      <c r="U169" s="209">
        <v>4299.38</v>
      </c>
      <c r="V169" s="209"/>
      <c r="W169" s="209">
        <v>1416</v>
      </c>
      <c r="X169" s="209">
        <v>0</v>
      </c>
      <c r="Y169" s="422"/>
      <c r="Z169" s="450"/>
      <c r="AA169" s="450">
        <v>0</v>
      </c>
      <c r="AB169" s="238">
        <f t="shared" si="148"/>
        <v>8315.380000000001</v>
      </c>
      <c r="AC169" s="445" t="e">
        <f t="shared" si="155"/>
        <v>#DIV/0!</v>
      </c>
      <c r="AD169" s="124"/>
      <c r="AE169" s="133"/>
      <c r="AF169" s="135" t="e">
        <f t="shared" si="136"/>
        <v>#DIV/0!</v>
      </c>
      <c r="AG169" s="124"/>
      <c r="AH169" s="133"/>
      <c r="AI169" s="135" t="e">
        <f t="shared" si="137"/>
        <v>#DIV/0!</v>
      </c>
      <c r="AJ169" s="124"/>
      <c r="AK169" s="133"/>
      <c r="AL169" s="135" t="e">
        <f t="shared" si="138"/>
        <v>#DIV/0!</v>
      </c>
      <c r="AM169" s="209">
        <f t="shared" si="149"/>
        <v>0</v>
      </c>
      <c r="AN169" s="209">
        <f t="shared" si="150"/>
        <v>0</v>
      </c>
      <c r="AO169" s="210" t="e">
        <f t="shared" si="112"/>
        <v>#DIV/0!</v>
      </c>
      <c r="AP169" s="124"/>
      <c r="AQ169" s="133"/>
      <c r="AR169" s="451" t="e">
        <f t="shared" si="139"/>
        <v>#DIV/0!</v>
      </c>
      <c r="AS169" s="124"/>
      <c r="AT169" s="133"/>
      <c r="AU169" s="133" t="e">
        <f t="shared" si="140"/>
        <v>#DIV/0!</v>
      </c>
      <c r="AV169" s="123"/>
      <c r="AW169" s="123"/>
      <c r="AX169" s="124" t="e">
        <f t="shared" si="141"/>
        <v>#DIV/0!</v>
      </c>
      <c r="AY169" s="110">
        <f t="shared" si="151"/>
        <v>0</v>
      </c>
      <c r="AZ169" s="110">
        <f t="shared" si="152"/>
        <v>0</v>
      </c>
      <c r="BA169" s="210" t="e">
        <f t="shared" si="130"/>
        <v>#DIV/0!</v>
      </c>
      <c r="BB169" s="124"/>
      <c r="BC169" s="124"/>
      <c r="BD169" s="124" t="e">
        <f t="shared" si="142"/>
        <v>#DIV/0!</v>
      </c>
      <c r="BE169" s="124"/>
      <c r="BF169" s="124"/>
      <c r="BG169" s="124" t="e">
        <f t="shared" si="143"/>
        <v>#DIV/0!</v>
      </c>
      <c r="BH169" s="124"/>
      <c r="BI169" s="133"/>
      <c r="BJ169" s="133" t="e">
        <f t="shared" si="144"/>
        <v>#DIV/0!</v>
      </c>
      <c r="BK169" s="209">
        <f t="shared" si="153"/>
        <v>0</v>
      </c>
      <c r="BL169" s="209">
        <f t="shared" si="154"/>
        <v>0</v>
      </c>
      <c r="BM169" s="210" t="e">
        <f t="shared" si="132"/>
        <v>#DIV/0!</v>
      </c>
      <c r="BN169" s="132">
        <f>I169+L169+O169+AE169+AH169+AK169+AQ169+AT169+AW169+BC169+BF169+BI169</f>
        <v>2600</v>
      </c>
      <c r="BO169" s="135">
        <f t="shared" si="145"/>
        <v>0.104</v>
      </c>
      <c r="BP169" s="197">
        <f t="shared" si="123"/>
        <v>16684.62</v>
      </c>
    </row>
    <row r="170" spans="1:68" ht="13.5" thickBot="1">
      <c r="A170" s="103">
        <v>2</v>
      </c>
      <c r="B170" s="103">
        <v>3</v>
      </c>
      <c r="C170" s="103">
        <v>9</v>
      </c>
      <c r="D170" s="103">
        <v>8</v>
      </c>
      <c r="E170" s="103"/>
      <c r="F170" s="231" t="s">
        <v>246</v>
      </c>
      <c r="G170" s="232">
        <v>0</v>
      </c>
      <c r="H170" s="232"/>
      <c r="I170" s="232">
        <v>0</v>
      </c>
      <c r="J170" s="233"/>
      <c r="K170" s="232"/>
      <c r="L170" s="232">
        <v>0</v>
      </c>
      <c r="M170" s="234"/>
      <c r="N170" s="232"/>
      <c r="O170" s="232">
        <v>0</v>
      </c>
      <c r="P170" s="234" t="e">
        <f t="shared" si="135"/>
        <v>#DIV/0!</v>
      </c>
      <c r="Q170" s="235"/>
      <c r="R170" s="235"/>
      <c r="S170" s="235">
        <v>0</v>
      </c>
      <c r="T170" s="235">
        <v>0</v>
      </c>
      <c r="U170" s="235">
        <v>0</v>
      </c>
      <c r="V170" s="235">
        <v>0</v>
      </c>
      <c r="W170" s="235">
        <v>0</v>
      </c>
      <c r="X170" s="235">
        <v>0</v>
      </c>
      <c r="Y170" s="235">
        <v>0</v>
      </c>
      <c r="Z170" s="235">
        <v>0</v>
      </c>
      <c r="AA170" s="235">
        <v>0</v>
      </c>
      <c r="AB170" s="238">
        <f t="shared" si="148"/>
        <v>0</v>
      </c>
      <c r="AC170" s="236"/>
      <c r="AD170" s="232"/>
      <c r="AE170" s="232"/>
      <c r="AF170" s="234"/>
      <c r="AG170" s="232"/>
      <c r="AH170" s="232"/>
      <c r="AI170" s="234"/>
      <c r="AJ170" s="232"/>
      <c r="AK170" s="232"/>
      <c r="AL170" s="234"/>
      <c r="AM170" s="235"/>
      <c r="AN170" s="235"/>
      <c r="AO170" s="236"/>
      <c r="AP170" s="232"/>
      <c r="AQ170" s="232"/>
      <c r="AR170" s="237"/>
      <c r="AS170" s="232"/>
      <c r="AT170" s="232"/>
      <c r="AU170" s="232"/>
      <c r="AV170" s="103"/>
      <c r="AW170" s="103"/>
      <c r="AX170" s="232"/>
      <c r="AY170" s="238"/>
      <c r="AZ170" s="238"/>
      <c r="BA170" s="236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5"/>
      <c r="BL170" s="235"/>
      <c r="BM170" s="236"/>
      <c r="BN170" s="238"/>
      <c r="BO170" s="234"/>
      <c r="BP170" s="197">
        <f t="shared" si="123"/>
        <v>0</v>
      </c>
    </row>
    <row r="171" spans="1:68" ht="13.5" thickBot="1">
      <c r="A171" s="103">
        <v>2</v>
      </c>
      <c r="B171" s="103">
        <v>3</v>
      </c>
      <c r="C171" s="103">
        <v>9</v>
      </c>
      <c r="D171" s="103">
        <v>9</v>
      </c>
      <c r="E171" s="103"/>
      <c r="F171" s="231" t="s">
        <v>204</v>
      </c>
      <c r="G171" s="232">
        <v>25000</v>
      </c>
      <c r="H171" s="232"/>
      <c r="I171" s="232"/>
      <c r="J171" s="233" t="e">
        <f t="shared" si="133"/>
        <v>#DIV/0!</v>
      </c>
      <c r="K171" s="232"/>
      <c r="L171" s="232"/>
      <c r="M171" s="234" t="e">
        <f t="shared" si="134"/>
        <v>#DIV/0!</v>
      </c>
      <c r="N171" s="232"/>
      <c r="O171" s="232">
        <v>0</v>
      </c>
      <c r="P171" s="234" t="e">
        <f t="shared" si="135"/>
        <v>#DIV/0!</v>
      </c>
      <c r="Q171" s="235">
        <f t="shared" si="147"/>
        <v>0</v>
      </c>
      <c r="R171" s="235"/>
      <c r="S171" s="235"/>
      <c r="T171" s="235"/>
      <c r="U171" s="235"/>
      <c r="V171" s="235"/>
      <c r="W171" s="235"/>
      <c r="X171" s="235">
        <v>465.01</v>
      </c>
      <c r="Y171" s="235"/>
      <c r="Z171" s="235"/>
      <c r="AA171" s="235">
        <v>0</v>
      </c>
      <c r="AB171" s="238">
        <f t="shared" si="148"/>
        <v>465.01</v>
      </c>
      <c r="AC171" s="236" t="e">
        <f t="shared" si="155"/>
        <v>#DIV/0!</v>
      </c>
      <c r="AD171" s="232"/>
      <c r="AE171" s="232"/>
      <c r="AF171" s="234" t="e">
        <f t="shared" si="136"/>
        <v>#DIV/0!</v>
      </c>
      <c r="AG171" s="232"/>
      <c r="AH171" s="232"/>
      <c r="AI171" s="234" t="e">
        <f t="shared" si="137"/>
        <v>#DIV/0!</v>
      </c>
      <c r="AJ171" s="232"/>
      <c r="AK171" s="232"/>
      <c r="AL171" s="234" t="e">
        <f t="shared" si="138"/>
        <v>#DIV/0!</v>
      </c>
      <c r="AM171" s="235">
        <f t="shared" si="149"/>
        <v>0</v>
      </c>
      <c r="AN171" s="235">
        <f t="shared" si="150"/>
        <v>0</v>
      </c>
      <c r="AO171" s="236" t="e">
        <f t="shared" si="112"/>
        <v>#DIV/0!</v>
      </c>
      <c r="AP171" s="232"/>
      <c r="AQ171" s="232"/>
      <c r="AR171" s="237" t="e">
        <f t="shared" si="139"/>
        <v>#DIV/0!</v>
      </c>
      <c r="AS171" s="232"/>
      <c r="AT171" s="232"/>
      <c r="AU171" s="232" t="e">
        <f t="shared" si="140"/>
        <v>#DIV/0!</v>
      </c>
      <c r="AV171" s="103"/>
      <c r="AW171" s="103"/>
      <c r="AX171" s="232" t="e">
        <f t="shared" si="141"/>
        <v>#DIV/0!</v>
      </c>
      <c r="AY171" s="238">
        <f t="shared" si="151"/>
        <v>0</v>
      </c>
      <c r="AZ171" s="238">
        <f t="shared" si="152"/>
        <v>0</v>
      </c>
      <c r="BA171" s="236" t="e">
        <f t="shared" si="130"/>
        <v>#DIV/0!</v>
      </c>
      <c r="BB171" s="232"/>
      <c r="BC171" s="232"/>
      <c r="BD171" s="232" t="e">
        <f t="shared" si="142"/>
        <v>#DIV/0!</v>
      </c>
      <c r="BE171" s="232"/>
      <c r="BF171" s="232"/>
      <c r="BG171" s="232" t="e">
        <f t="shared" si="143"/>
        <v>#DIV/0!</v>
      </c>
      <c r="BH171" s="232"/>
      <c r="BI171" s="232"/>
      <c r="BJ171" s="232" t="e">
        <f t="shared" si="144"/>
        <v>#DIV/0!</v>
      </c>
      <c r="BK171" s="235">
        <f t="shared" si="153"/>
        <v>0</v>
      </c>
      <c r="BL171" s="235">
        <f t="shared" si="154"/>
        <v>0</v>
      </c>
      <c r="BM171" s="236" t="e">
        <f t="shared" si="132"/>
        <v>#DIV/0!</v>
      </c>
      <c r="BN171" s="238">
        <f>I171+L171+O171+AE171+AH171+AK171+AQ171+AT171+AW171+BC171+BF171+BI171</f>
        <v>0</v>
      </c>
      <c r="BO171" s="234">
        <f t="shared" si="145"/>
        <v>0</v>
      </c>
      <c r="BP171" s="197">
        <f t="shared" si="123"/>
        <v>24534.99</v>
      </c>
    </row>
    <row r="172" spans="1:68" ht="22.5" thickBot="1">
      <c r="A172" s="459">
        <v>2</v>
      </c>
      <c r="B172" s="241">
        <v>3</v>
      </c>
      <c r="C172" s="241">
        <v>9</v>
      </c>
      <c r="D172" s="241">
        <v>9</v>
      </c>
      <c r="E172" s="242" t="s">
        <v>250</v>
      </c>
      <c r="F172" s="387" t="s">
        <v>251</v>
      </c>
      <c r="G172" s="463">
        <v>50000</v>
      </c>
      <c r="H172" s="163"/>
      <c r="I172" s="163"/>
      <c r="J172" s="160"/>
      <c r="K172" s="163"/>
      <c r="L172" s="163"/>
      <c r="M172" s="161"/>
      <c r="N172" s="163"/>
      <c r="O172" s="163"/>
      <c r="P172" s="161"/>
      <c r="Q172" s="424"/>
      <c r="R172" s="424"/>
      <c r="S172" s="424"/>
      <c r="T172" s="424"/>
      <c r="U172" s="424"/>
      <c r="V172" s="424"/>
      <c r="W172" s="424"/>
      <c r="X172" s="424">
        <v>0</v>
      </c>
      <c r="Y172" s="424"/>
      <c r="Z172" s="424">
        <v>0</v>
      </c>
      <c r="AA172" s="460"/>
      <c r="AB172" s="238">
        <f>+X172+Z172+AA172</f>
        <v>0</v>
      </c>
      <c r="AC172" s="461"/>
      <c r="AD172" s="163"/>
      <c r="AE172" s="163"/>
      <c r="AF172" s="161"/>
      <c r="AG172" s="163"/>
      <c r="AH172" s="163"/>
      <c r="AI172" s="161"/>
      <c r="AJ172" s="163"/>
      <c r="AK172" s="163"/>
      <c r="AL172" s="161"/>
      <c r="AM172" s="424"/>
      <c r="AN172" s="424"/>
      <c r="AO172" s="461"/>
      <c r="AP172" s="163"/>
      <c r="AQ172" s="163"/>
      <c r="AR172" s="462"/>
      <c r="AS172" s="163"/>
      <c r="AT172" s="163"/>
      <c r="AU172" s="163"/>
      <c r="AV172" s="164"/>
      <c r="AW172" s="164"/>
      <c r="AX172" s="163"/>
      <c r="AY172" s="463"/>
      <c r="AZ172" s="463"/>
      <c r="BA172" s="461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424"/>
      <c r="BL172" s="424"/>
      <c r="BM172" s="461"/>
      <c r="BN172" s="463"/>
      <c r="BO172" s="161"/>
      <c r="BP172" s="197">
        <f>+G172-AB172</f>
        <v>50000</v>
      </c>
    </row>
    <row r="173" spans="1:68" ht="13.5" thickBot="1">
      <c r="A173" s="452">
        <v>2</v>
      </c>
      <c r="B173" s="453">
        <v>3</v>
      </c>
      <c r="C173" s="453">
        <v>9</v>
      </c>
      <c r="D173" s="453">
        <v>9</v>
      </c>
      <c r="E173" s="454">
        <v>0</v>
      </c>
      <c r="F173" s="243" t="s">
        <v>247</v>
      </c>
      <c r="G173" s="251">
        <v>20000</v>
      </c>
      <c r="H173" s="244"/>
      <c r="I173" s="245"/>
      <c r="J173" s="455"/>
      <c r="K173" s="247"/>
      <c r="L173" s="244"/>
      <c r="M173" s="455"/>
      <c r="N173" s="244"/>
      <c r="O173" s="244"/>
      <c r="P173" s="455"/>
      <c r="Q173" s="251"/>
      <c r="R173" s="251"/>
      <c r="S173" s="251"/>
      <c r="T173" s="251"/>
      <c r="U173" s="251"/>
      <c r="V173" s="251"/>
      <c r="W173" s="251">
        <v>110000</v>
      </c>
      <c r="X173" s="251"/>
      <c r="Y173" s="251"/>
      <c r="Z173" s="252"/>
      <c r="AA173" s="456"/>
      <c r="AB173" s="238">
        <f t="shared" si="148"/>
        <v>110000</v>
      </c>
      <c r="AC173" s="449"/>
      <c r="AD173" s="244"/>
      <c r="AE173" s="245"/>
      <c r="AF173" s="119"/>
      <c r="AG173" s="244"/>
      <c r="AH173" s="245"/>
      <c r="AI173" s="119"/>
      <c r="AJ173" s="244"/>
      <c r="AK173" s="245"/>
      <c r="AL173" s="119"/>
      <c r="AM173" s="248"/>
      <c r="AN173" s="248"/>
      <c r="AO173" s="249"/>
      <c r="AP173" s="244"/>
      <c r="AQ173" s="245"/>
      <c r="AR173" s="117"/>
      <c r="AS173" s="244"/>
      <c r="AT173" s="245"/>
      <c r="AU173" s="245"/>
      <c r="AV173" s="250"/>
      <c r="AW173" s="250"/>
      <c r="AX173" s="244"/>
      <c r="AY173" s="251"/>
      <c r="AZ173" s="251"/>
      <c r="BA173" s="249"/>
      <c r="BB173" s="244"/>
      <c r="BC173" s="244"/>
      <c r="BD173" s="244"/>
      <c r="BE173" s="244"/>
      <c r="BF173" s="244"/>
      <c r="BG173" s="244"/>
      <c r="BH173" s="244"/>
      <c r="BI173" s="245"/>
      <c r="BJ173" s="245"/>
      <c r="BK173" s="248"/>
      <c r="BL173" s="248"/>
      <c r="BM173" s="249"/>
      <c r="BN173" s="252"/>
      <c r="BO173" s="119"/>
      <c r="BP173" s="197">
        <f t="shared" si="123"/>
        <v>-90000</v>
      </c>
    </row>
    <row r="174" spans="1:68" ht="13.5" thickBot="1">
      <c r="A174" s="192">
        <v>2</v>
      </c>
      <c r="B174" s="193">
        <v>4</v>
      </c>
      <c r="C174" s="193"/>
      <c r="D174" s="193"/>
      <c r="E174" s="194"/>
      <c r="F174" s="211" t="s">
        <v>63</v>
      </c>
      <c r="G174" s="182">
        <f>G176</f>
        <v>0</v>
      </c>
      <c r="H174" s="182">
        <f>H176</f>
        <v>0</v>
      </c>
      <c r="I174" s="180">
        <f>I176</f>
        <v>0</v>
      </c>
      <c r="J174" s="196" t="e">
        <f t="shared" si="133"/>
        <v>#DIV/0!</v>
      </c>
      <c r="K174" s="197">
        <f>K176</f>
        <v>0</v>
      </c>
      <c r="L174" s="182">
        <f>L176</f>
        <v>0</v>
      </c>
      <c r="M174" s="178" t="e">
        <f t="shared" si="134"/>
        <v>#DIV/0!</v>
      </c>
      <c r="N174" s="182">
        <f>N176</f>
        <v>0</v>
      </c>
      <c r="O174" s="182">
        <f>O176</f>
        <v>0</v>
      </c>
      <c r="P174" s="178" t="e">
        <f t="shared" si="135"/>
        <v>#DIV/0!</v>
      </c>
      <c r="Q174" s="182">
        <f>Q176</f>
        <v>0</v>
      </c>
      <c r="R174" s="182"/>
      <c r="S174" s="182"/>
      <c r="T174" s="182"/>
      <c r="U174" s="182"/>
      <c r="V174" s="182"/>
      <c r="W174" s="182"/>
      <c r="X174" s="182"/>
      <c r="Y174" s="182"/>
      <c r="Z174" s="108"/>
      <c r="AA174" s="426"/>
      <c r="AB174" s="238">
        <f>AB176</f>
        <v>0</v>
      </c>
      <c r="AC174" s="446" t="e">
        <f t="shared" si="155"/>
        <v>#DIV/0!</v>
      </c>
      <c r="AD174" s="182">
        <f>AD176</f>
        <v>0</v>
      </c>
      <c r="AE174" s="180">
        <f>AE176</f>
        <v>0</v>
      </c>
      <c r="AF174" s="178" t="e">
        <f t="shared" si="136"/>
        <v>#DIV/0!</v>
      </c>
      <c r="AG174" s="182">
        <f>AG176</f>
        <v>0</v>
      </c>
      <c r="AH174" s="180">
        <f>AH176</f>
        <v>0</v>
      </c>
      <c r="AI174" s="178" t="e">
        <f t="shared" si="137"/>
        <v>#DIV/0!</v>
      </c>
      <c r="AJ174" s="182">
        <f>AJ176</f>
        <v>0</v>
      </c>
      <c r="AK174" s="180">
        <f>AK176</f>
        <v>0</v>
      </c>
      <c r="AL174" s="178" t="e">
        <f t="shared" si="138"/>
        <v>#DIV/0!</v>
      </c>
      <c r="AM174" s="182">
        <f>AM176</f>
        <v>0</v>
      </c>
      <c r="AN174" s="182">
        <f>AN176</f>
        <v>0</v>
      </c>
      <c r="AO174" s="212" t="e">
        <f t="shared" si="112"/>
        <v>#DIV/0!</v>
      </c>
      <c r="AP174" s="182">
        <f>AP176</f>
        <v>0</v>
      </c>
      <c r="AQ174" s="180">
        <f>AQ176</f>
        <v>0</v>
      </c>
      <c r="AR174" s="179" t="e">
        <f t="shared" si="139"/>
        <v>#DIV/0!</v>
      </c>
      <c r="AS174" s="182">
        <f>AS176</f>
        <v>0</v>
      </c>
      <c r="AT174" s="180">
        <f>AT176</f>
        <v>0</v>
      </c>
      <c r="AU174" s="180" t="e">
        <f t="shared" si="140"/>
        <v>#DIV/0!</v>
      </c>
      <c r="AV174" s="182">
        <f>AV176</f>
        <v>0</v>
      </c>
      <c r="AW174" s="182">
        <f>AW176</f>
        <v>0</v>
      </c>
      <c r="AX174" s="182" t="e">
        <f t="shared" si="141"/>
        <v>#DIV/0!</v>
      </c>
      <c r="AY174" s="182">
        <f>AY176</f>
        <v>0</v>
      </c>
      <c r="AZ174" s="182">
        <f>AZ176</f>
        <v>0</v>
      </c>
      <c r="BA174" s="212" t="e">
        <f t="shared" si="130"/>
        <v>#DIV/0!</v>
      </c>
      <c r="BB174" s="182"/>
      <c r="BC174" s="182"/>
      <c r="BD174" s="182" t="e">
        <f t="shared" si="142"/>
        <v>#DIV/0!</v>
      </c>
      <c r="BE174" s="182"/>
      <c r="BF174" s="182"/>
      <c r="BG174" s="182" t="e">
        <f t="shared" si="143"/>
        <v>#DIV/0!</v>
      </c>
      <c r="BH174" s="182">
        <f>BH176</f>
        <v>0</v>
      </c>
      <c r="BI174" s="180">
        <f>BI176</f>
        <v>0</v>
      </c>
      <c r="BJ174" s="180" t="e">
        <f t="shared" si="144"/>
        <v>#DIV/0!</v>
      </c>
      <c r="BK174" s="182">
        <f>BK176</f>
        <v>0</v>
      </c>
      <c r="BL174" s="182">
        <f>BL176</f>
        <v>0</v>
      </c>
      <c r="BM174" s="212" t="e">
        <f t="shared" si="132"/>
        <v>#DIV/0!</v>
      </c>
      <c r="BN174" s="180">
        <f>BN176</f>
        <v>0</v>
      </c>
      <c r="BO174" s="178" t="e">
        <f t="shared" si="145"/>
        <v>#DIV/0!</v>
      </c>
      <c r="BP174" s="197">
        <f t="shared" si="123"/>
        <v>0</v>
      </c>
    </row>
    <row r="175" spans="1:68" s="78" customFormat="1" ht="13.5" thickBot="1">
      <c r="A175" s="125"/>
      <c r="B175" s="126"/>
      <c r="C175" s="127"/>
      <c r="D175" s="127"/>
      <c r="E175" s="128"/>
      <c r="F175" s="130"/>
      <c r="G175" s="81"/>
      <c r="H175" s="81"/>
      <c r="I175" s="111"/>
      <c r="J175" s="112"/>
      <c r="K175" s="113"/>
      <c r="L175" s="114"/>
      <c r="M175" s="115"/>
      <c r="N175" s="114"/>
      <c r="O175" s="114"/>
      <c r="P175" s="115"/>
      <c r="Q175" s="214"/>
      <c r="R175" s="214"/>
      <c r="S175" s="214"/>
      <c r="T175" s="214"/>
      <c r="U175" s="214"/>
      <c r="V175" s="214"/>
      <c r="W175" s="214"/>
      <c r="X175" s="214"/>
      <c r="Y175" s="420"/>
      <c r="Z175" s="425"/>
      <c r="AA175" s="425"/>
      <c r="AB175" s="238"/>
      <c r="AC175" s="442"/>
      <c r="AD175" s="81"/>
      <c r="AE175" s="111"/>
      <c r="AF175" s="115"/>
      <c r="AG175" s="81"/>
      <c r="AH175" s="111"/>
      <c r="AI175" s="115"/>
      <c r="AJ175" s="81"/>
      <c r="AK175" s="111"/>
      <c r="AL175" s="115"/>
      <c r="AM175" s="214"/>
      <c r="AN175" s="214"/>
      <c r="AO175" s="201"/>
      <c r="AP175" s="81"/>
      <c r="AQ175" s="111"/>
      <c r="AR175" s="117"/>
      <c r="AS175" s="81"/>
      <c r="AT175" s="111"/>
      <c r="AU175" s="118"/>
      <c r="AV175" s="116"/>
      <c r="AW175" s="116"/>
      <c r="AX175" s="81"/>
      <c r="AY175" s="114"/>
      <c r="AZ175" s="114"/>
      <c r="BA175" s="201"/>
      <c r="BB175" s="114"/>
      <c r="BC175" s="114"/>
      <c r="BD175" s="81"/>
      <c r="BE175" s="114"/>
      <c r="BF175" s="114"/>
      <c r="BG175" s="81"/>
      <c r="BH175" s="114"/>
      <c r="BI175" s="111"/>
      <c r="BJ175" s="118"/>
      <c r="BK175" s="214"/>
      <c r="BL175" s="214"/>
      <c r="BM175" s="201"/>
      <c r="BN175" s="118"/>
      <c r="BO175" s="115"/>
      <c r="BP175" s="197">
        <f t="shared" si="123"/>
        <v>0</v>
      </c>
    </row>
    <row r="176" spans="1:68" s="76" customFormat="1" ht="27" customHeight="1" thickBot="1">
      <c r="A176" s="102">
        <v>2</v>
      </c>
      <c r="B176" s="103">
        <v>4</v>
      </c>
      <c r="C176" s="103">
        <v>1</v>
      </c>
      <c r="D176" s="84"/>
      <c r="E176" s="104"/>
      <c r="F176" s="155" t="s">
        <v>230</v>
      </c>
      <c r="G176" s="82">
        <f>G177+G180+G183+G184</f>
        <v>0</v>
      </c>
      <c r="H176" s="82">
        <f>H177+H180+H183+H184</f>
        <v>0</v>
      </c>
      <c r="I176" s="131">
        <f>I177+I180+I183+I184</f>
        <v>0</v>
      </c>
      <c r="J176" s="138" t="e">
        <f t="shared" si="133"/>
        <v>#DIV/0!</v>
      </c>
      <c r="K176" s="203">
        <f>K177+K180+K183+K184</f>
        <v>0</v>
      </c>
      <c r="L176" s="82">
        <f>L177+L180+L183+L184</f>
        <v>0</v>
      </c>
      <c r="M176" s="89" t="e">
        <f t="shared" si="134"/>
        <v>#DIV/0!</v>
      </c>
      <c r="N176" s="82">
        <f aca="true" t="shared" si="156" ref="N176:S176">N177+N180+N183+N184</f>
        <v>0</v>
      </c>
      <c r="O176" s="82">
        <f t="shared" si="156"/>
        <v>0</v>
      </c>
      <c r="P176" s="82" t="e">
        <f t="shared" si="156"/>
        <v>#DIV/0!</v>
      </c>
      <c r="Q176" s="82">
        <f t="shared" si="156"/>
        <v>0</v>
      </c>
      <c r="R176" s="82">
        <f t="shared" si="156"/>
        <v>0</v>
      </c>
      <c r="S176" s="82">
        <f t="shared" si="156"/>
        <v>0</v>
      </c>
      <c r="T176" s="82"/>
      <c r="U176" s="82"/>
      <c r="V176" s="82"/>
      <c r="W176" s="82"/>
      <c r="X176" s="82"/>
      <c r="Y176" s="131"/>
      <c r="Z176" s="426"/>
      <c r="AA176" s="426"/>
      <c r="AB176" s="238">
        <f>AB177+AB180+AB183+AB184</f>
        <v>0</v>
      </c>
      <c r="AC176" s="443" t="e">
        <f t="shared" si="155"/>
        <v>#DIV/0!</v>
      </c>
      <c r="AD176" s="82">
        <f>AD177+AD180+AD183+AD184</f>
        <v>0</v>
      </c>
      <c r="AE176" s="131">
        <f>AE177+AE180+AE183+AE184</f>
        <v>0</v>
      </c>
      <c r="AF176" s="89" t="e">
        <f t="shared" si="136"/>
        <v>#DIV/0!</v>
      </c>
      <c r="AG176" s="82">
        <f>AG177+AG180+AG183+AG184</f>
        <v>0</v>
      </c>
      <c r="AH176" s="131">
        <f>AH177+AH180+AH183+AH184</f>
        <v>0</v>
      </c>
      <c r="AI176" s="89" t="e">
        <f t="shared" si="137"/>
        <v>#DIV/0!</v>
      </c>
      <c r="AJ176" s="82">
        <f>AJ177+AJ180+AJ183+AJ184</f>
        <v>0</v>
      </c>
      <c r="AK176" s="131">
        <f>AK177+AK180+AK183+AK184</f>
        <v>0</v>
      </c>
      <c r="AL176" s="89" t="e">
        <f t="shared" si="138"/>
        <v>#DIV/0!</v>
      </c>
      <c r="AM176" s="82">
        <f>AM177+AM180+AM183+AM184</f>
        <v>0</v>
      </c>
      <c r="AN176" s="82">
        <f>AN177+AN180+AN183+AN184</f>
        <v>0</v>
      </c>
      <c r="AO176" s="204" t="e">
        <f t="shared" si="112"/>
        <v>#DIV/0!</v>
      </c>
      <c r="AP176" s="82">
        <f>AP177+AP180+AP183+AP184</f>
        <v>0</v>
      </c>
      <c r="AQ176" s="131">
        <f>AQ177+AQ180+AQ183+AQ184</f>
        <v>0</v>
      </c>
      <c r="AR176" s="98" t="e">
        <f t="shared" si="139"/>
        <v>#DIV/0!</v>
      </c>
      <c r="AS176" s="82">
        <f>AS177+AS180+AS183+AS184</f>
        <v>0</v>
      </c>
      <c r="AT176" s="131">
        <f>AT177+AT180+AT183+AT184</f>
        <v>0</v>
      </c>
      <c r="AU176" s="99" t="e">
        <f t="shared" si="140"/>
        <v>#DIV/0!</v>
      </c>
      <c r="AV176" s="82">
        <f>AV177+AV180+AV183+AV184</f>
        <v>0</v>
      </c>
      <c r="AW176" s="82">
        <f>AW177+AW180+AW183+AW184</f>
        <v>0</v>
      </c>
      <c r="AX176" s="100" t="e">
        <f t="shared" si="141"/>
        <v>#DIV/0!</v>
      </c>
      <c r="AY176" s="82">
        <f>AY177+AY180+AY183+AY184</f>
        <v>0</v>
      </c>
      <c r="AZ176" s="82">
        <f>AZ177+AZ180+AZ183+AZ184</f>
        <v>0</v>
      </c>
      <c r="BA176" s="204" t="e">
        <f t="shared" si="130"/>
        <v>#DIV/0!</v>
      </c>
      <c r="BB176" s="82"/>
      <c r="BC176" s="82"/>
      <c r="BD176" s="100" t="e">
        <f t="shared" si="142"/>
        <v>#DIV/0!</v>
      </c>
      <c r="BE176" s="82"/>
      <c r="BF176" s="82"/>
      <c r="BG176" s="100" t="e">
        <f t="shared" si="143"/>
        <v>#DIV/0!</v>
      </c>
      <c r="BH176" s="82">
        <f>BH177+BH180+BH183+BH184</f>
        <v>0</v>
      </c>
      <c r="BI176" s="131">
        <f>BI177+BI180+BI183+BI184</f>
        <v>0</v>
      </c>
      <c r="BJ176" s="99" t="e">
        <f t="shared" si="144"/>
        <v>#DIV/0!</v>
      </c>
      <c r="BK176" s="82">
        <f>BK177+BK180+BK183+BK184</f>
        <v>0</v>
      </c>
      <c r="BL176" s="82">
        <f>BL177+BL180+BL183+BL184</f>
        <v>0</v>
      </c>
      <c r="BM176" s="204" t="e">
        <f t="shared" si="132"/>
        <v>#DIV/0!</v>
      </c>
      <c r="BN176" s="131">
        <f>BN177+BN180+BN183+BN184</f>
        <v>0</v>
      </c>
      <c r="BO176" s="134" t="e">
        <f t="shared" si="145"/>
        <v>#DIV/0!</v>
      </c>
      <c r="BP176" s="197">
        <f t="shared" si="123"/>
        <v>0</v>
      </c>
    </row>
    <row r="177" spans="1:68" ht="13.5" thickBot="1">
      <c r="A177" s="102">
        <v>2</v>
      </c>
      <c r="B177" s="103">
        <v>4</v>
      </c>
      <c r="C177" s="103">
        <v>1</v>
      </c>
      <c r="D177" s="103">
        <v>2</v>
      </c>
      <c r="E177" s="202"/>
      <c r="F177" s="155" t="s">
        <v>49</v>
      </c>
      <c r="G177" s="82">
        <f>G178+G179</f>
        <v>0</v>
      </c>
      <c r="H177" s="82">
        <f>H178+H179</f>
        <v>0</v>
      </c>
      <c r="I177" s="131">
        <f>I178+I179</f>
        <v>0</v>
      </c>
      <c r="J177" s="138" t="e">
        <f t="shared" si="133"/>
        <v>#DIV/0!</v>
      </c>
      <c r="K177" s="203">
        <f>K178+K179</f>
        <v>0</v>
      </c>
      <c r="L177" s="82">
        <f>L178+L179</f>
        <v>0</v>
      </c>
      <c r="M177" s="89" t="e">
        <f t="shared" si="134"/>
        <v>#DIV/0!</v>
      </c>
      <c r="N177" s="82">
        <f>N178+N179</f>
        <v>0</v>
      </c>
      <c r="O177" s="82">
        <f>O178+O179</f>
        <v>0</v>
      </c>
      <c r="P177" s="89" t="e">
        <f t="shared" si="135"/>
        <v>#DIV/0!</v>
      </c>
      <c r="Q177" s="82">
        <f>Q178+Q179</f>
        <v>0</v>
      </c>
      <c r="R177" s="82"/>
      <c r="S177" s="82"/>
      <c r="T177" s="82"/>
      <c r="U177" s="82"/>
      <c r="V177" s="82"/>
      <c r="W177" s="82"/>
      <c r="X177" s="82"/>
      <c r="Y177" s="131"/>
      <c r="Z177" s="426"/>
      <c r="AA177" s="426"/>
      <c r="AB177" s="238">
        <f>AB178+AB179</f>
        <v>0</v>
      </c>
      <c r="AC177" s="443" t="e">
        <f t="shared" si="155"/>
        <v>#DIV/0!</v>
      </c>
      <c r="AD177" s="82">
        <f>AD178+AD179</f>
        <v>0</v>
      </c>
      <c r="AE177" s="131">
        <f>AE178+AE179</f>
        <v>0</v>
      </c>
      <c r="AF177" s="89" t="e">
        <f t="shared" si="136"/>
        <v>#DIV/0!</v>
      </c>
      <c r="AG177" s="82">
        <f>AG178+AG179</f>
        <v>0</v>
      </c>
      <c r="AH177" s="131">
        <f>AH178+AH179</f>
        <v>0</v>
      </c>
      <c r="AI177" s="89" t="e">
        <f t="shared" si="137"/>
        <v>#DIV/0!</v>
      </c>
      <c r="AJ177" s="82">
        <f>AJ178+AJ179</f>
        <v>0</v>
      </c>
      <c r="AK177" s="131">
        <f>AK178+AK179</f>
        <v>0</v>
      </c>
      <c r="AL177" s="89" t="e">
        <f t="shared" si="138"/>
        <v>#DIV/0!</v>
      </c>
      <c r="AM177" s="82">
        <f>AM178+AM179</f>
        <v>0</v>
      </c>
      <c r="AN177" s="82">
        <f>AN178+AN179</f>
        <v>0</v>
      </c>
      <c r="AO177" s="204" t="e">
        <f t="shared" si="112"/>
        <v>#DIV/0!</v>
      </c>
      <c r="AP177" s="82">
        <f>AP178+AP179</f>
        <v>0</v>
      </c>
      <c r="AQ177" s="131">
        <f>AQ178+AQ179</f>
        <v>0</v>
      </c>
      <c r="AR177" s="98" t="e">
        <f t="shared" si="139"/>
        <v>#DIV/0!</v>
      </c>
      <c r="AS177" s="82">
        <f>AS178+AS179</f>
        <v>0</v>
      </c>
      <c r="AT177" s="131">
        <f>AT178+AT179</f>
        <v>0</v>
      </c>
      <c r="AU177" s="99" t="e">
        <f t="shared" si="140"/>
        <v>#DIV/0!</v>
      </c>
      <c r="AV177" s="82">
        <f>AV178+AV179</f>
        <v>0</v>
      </c>
      <c r="AW177" s="82">
        <f>AW178+AW179</f>
        <v>0</v>
      </c>
      <c r="AX177" s="100" t="e">
        <f t="shared" si="141"/>
        <v>#DIV/0!</v>
      </c>
      <c r="AY177" s="82">
        <f>AY178+AY179</f>
        <v>0</v>
      </c>
      <c r="AZ177" s="82">
        <f>AZ178+AZ179</f>
        <v>0</v>
      </c>
      <c r="BA177" s="204" t="e">
        <f t="shared" si="130"/>
        <v>#DIV/0!</v>
      </c>
      <c r="BB177" s="82"/>
      <c r="BC177" s="82"/>
      <c r="BD177" s="100" t="e">
        <f t="shared" si="142"/>
        <v>#DIV/0!</v>
      </c>
      <c r="BE177" s="82"/>
      <c r="BF177" s="82"/>
      <c r="BG177" s="100" t="e">
        <f t="shared" si="143"/>
        <v>#DIV/0!</v>
      </c>
      <c r="BH177" s="82">
        <f>BH178+BH179</f>
        <v>0</v>
      </c>
      <c r="BI177" s="131">
        <f>BI178+BI179</f>
        <v>0</v>
      </c>
      <c r="BJ177" s="99" t="e">
        <f t="shared" si="144"/>
        <v>#DIV/0!</v>
      </c>
      <c r="BK177" s="82">
        <f>BK178+BK179</f>
        <v>0</v>
      </c>
      <c r="BL177" s="82">
        <f>BL178+BL179</f>
        <v>0</v>
      </c>
      <c r="BM177" s="204" t="e">
        <f t="shared" si="132"/>
        <v>#DIV/0!</v>
      </c>
      <c r="BN177" s="131">
        <f>BN178+BN179</f>
        <v>0</v>
      </c>
      <c r="BO177" s="134" t="e">
        <f t="shared" si="145"/>
        <v>#DIV/0!</v>
      </c>
      <c r="BP177" s="197">
        <f t="shared" si="123"/>
        <v>0</v>
      </c>
    </row>
    <row r="178" spans="1:68" s="78" customFormat="1" ht="23.25" thickBot="1">
      <c r="A178" s="83">
        <v>2</v>
      </c>
      <c r="B178" s="84">
        <v>4</v>
      </c>
      <c r="C178" s="84">
        <v>1</v>
      </c>
      <c r="D178" s="84">
        <v>2</v>
      </c>
      <c r="E178" s="85" t="s">
        <v>149</v>
      </c>
      <c r="F178" s="90" t="s">
        <v>50</v>
      </c>
      <c r="G178" s="88">
        <v>0</v>
      </c>
      <c r="H178" s="88"/>
      <c r="I178" s="97"/>
      <c r="J178" s="138" t="e">
        <f t="shared" si="133"/>
        <v>#DIV/0!</v>
      </c>
      <c r="K178" s="148"/>
      <c r="L178" s="88"/>
      <c r="M178" s="89" t="e">
        <f t="shared" si="134"/>
        <v>#DIV/0!</v>
      </c>
      <c r="N178" s="88"/>
      <c r="O178" s="88"/>
      <c r="P178" s="89" t="e">
        <f t="shared" si="135"/>
        <v>#DIV/0!</v>
      </c>
      <c r="Q178" s="200">
        <f>N178+K178+H178</f>
        <v>0</v>
      </c>
      <c r="R178" s="200"/>
      <c r="S178" s="200"/>
      <c r="T178" s="200"/>
      <c r="U178" s="200"/>
      <c r="V178" s="200"/>
      <c r="W178" s="200"/>
      <c r="X178" s="200"/>
      <c r="Y178" s="421"/>
      <c r="Z178" s="425"/>
      <c r="AA178" s="425"/>
      <c r="AB178" s="238">
        <f>+I178+L178+O178+S178+T178+U178+V178+W178+X178+Y178+Z178+AA178</f>
        <v>0</v>
      </c>
      <c r="AC178" s="443" t="e">
        <f t="shared" si="155"/>
        <v>#DIV/0!</v>
      </c>
      <c r="AD178" s="88"/>
      <c r="AE178" s="97"/>
      <c r="AF178" s="89" t="e">
        <f t="shared" si="136"/>
        <v>#DIV/0!</v>
      </c>
      <c r="AG178" s="88"/>
      <c r="AH178" s="97"/>
      <c r="AI178" s="89" t="e">
        <f t="shared" si="137"/>
        <v>#DIV/0!</v>
      </c>
      <c r="AJ178" s="88"/>
      <c r="AK178" s="97"/>
      <c r="AL178" s="89" t="e">
        <f t="shared" si="138"/>
        <v>#DIV/0!</v>
      </c>
      <c r="AM178" s="200">
        <f>AJ178+AG178+AD178</f>
        <v>0</v>
      </c>
      <c r="AN178" s="200">
        <f>AK178+AH178+AE178</f>
        <v>0</v>
      </c>
      <c r="AO178" s="204" t="e">
        <f t="shared" si="112"/>
        <v>#DIV/0!</v>
      </c>
      <c r="AP178" s="88"/>
      <c r="AQ178" s="97"/>
      <c r="AR178" s="98" t="e">
        <f t="shared" si="139"/>
        <v>#DIV/0!</v>
      </c>
      <c r="AS178" s="88"/>
      <c r="AT178" s="97"/>
      <c r="AU178" s="99" t="e">
        <f t="shared" si="140"/>
        <v>#DIV/0!</v>
      </c>
      <c r="AV178" s="86"/>
      <c r="AW178" s="86"/>
      <c r="AX178" s="100" t="e">
        <f t="shared" si="141"/>
        <v>#DIV/0!</v>
      </c>
      <c r="AY178" s="88">
        <f>AV178+AS178+AP178</f>
        <v>0</v>
      </c>
      <c r="AZ178" s="88">
        <f>AW178+AT178+AQ178</f>
        <v>0</v>
      </c>
      <c r="BA178" s="204" t="e">
        <f t="shared" si="130"/>
        <v>#DIV/0!</v>
      </c>
      <c r="BB178" s="88"/>
      <c r="BC178" s="88"/>
      <c r="BD178" s="100" t="e">
        <f t="shared" si="142"/>
        <v>#DIV/0!</v>
      </c>
      <c r="BE178" s="88"/>
      <c r="BF178" s="88"/>
      <c r="BG178" s="100" t="e">
        <f t="shared" si="143"/>
        <v>#DIV/0!</v>
      </c>
      <c r="BH178" s="88"/>
      <c r="BI178" s="97"/>
      <c r="BJ178" s="99" t="e">
        <f t="shared" si="144"/>
        <v>#DIV/0!</v>
      </c>
      <c r="BK178" s="200">
        <f>BH178+BE178+BB178</f>
        <v>0</v>
      </c>
      <c r="BL178" s="200">
        <f>BI178+BF178+BC178</f>
        <v>0</v>
      </c>
      <c r="BM178" s="204" t="e">
        <f t="shared" si="132"/>
        <v>#DIV/0!</v>
      </c>
      <c r="BN178" s="97">
        <f>I178+L178+O178+AE178+AH178+AK178+AQ178+AT178+AW178+BC178+BF178+BI178</f>
        <v>0</v>
      </c>
      <c r="BO178" s="134" t="e">
        <f t="shared" si="145"/>
        <v>#DIV/0!</v>
      </c>
      <c r="BP178" s="197">
        <f t="shared" si="123"/>
        <v>0</v>
      </c>
    </row>
    <row r="179" spans="1:68" s="78" customFormat="1" ht="23.25" thickBot="1">
      <c r="A179" s="83">
        <v>2</v>
      </c>
      <c r="B179" s="84">
        <v>4</v>
      </c>
      <c r="C179" s="84">
        <v>1</v>
      </c>
      <c r="D179" s="84">
        <v>2</v>
      </c>
      <c r="E179" s="85" t="s">
        <v>150</v>
      </c>
      <c r="F179" s="90" t="s">
        <v>103</v>
      </c>
      <c r="G179" s="88">
        <v>0</v>
      </c>
      <c r="H179" s="88"/>
      <c r="I179" s="97"/>
      <c r="J179" s="138" t="e">
        <f t="shared" si="133"/>
        <v>#DIV/0!</v>
      </c>
      <c r="K179" s="148"/>
      <c r="L179" s="88"/>
      <c r="M179" s="89" t="e">
        <f t="shared" si="134"/>
        <v>#DIV/0!</v>
      </c>
      <c r="N179" s="88"/>
      <c r="O179" s="88"/>
      <c r="P179" s="89" t="e">
        <f t="shared" si="135"/>
        <v>#DIV/0!</v>
      </c>
      <c r="Q179" s="200">
        <f>N179+K179+H179</f>
        <v>0</v>
      </c>
      <c r="R179" s="200"/>
      <c r="S179" s="200"/>
      <c r="T179" s="200"/>
      <c r="U179" s="200"/>
      <c r="V179" s="200"/>
      <c r="W179" s="200"/>
      <c r="X179" s="200"/>
      <c r="Y179" s="421"/>
      <c r="Z179" s="425"/>
      <c r="AA179" s="425"/>
      <c r="AB179" s="238">
        <f>+I179+L179+O179+S179+T179+U179+V179+W179+X179+Y179+Z179+AA179</f>
        <v>0</v>
      </c>
      <c r="AC179" s="443" t="e">
        <f t="shared" si="155"/>
        <v>#DIV/0!</v>
      </c>
      <c r="AD179" s="88"/>
      <c r="AE179" s="97"/>
      <c r="AF179" s="89" t="e">
        <f t="shared" si="136"/>
        <v>#DIV/0!</v>
      </c>
      <c r="AG179" s="88"/>
      <c r="AH179" s="97"/>
      <c r="AI179" s="89" t="e">
        <f t="shared" si="137"/>
        <v>#DIV/0!</v>
      </c>
      <c r="AJ179" s="88"/>
      <c r="AK179" s="97"/>
      <c r="AL179" s="89" t="e">
        <f t="shared" si="138"/>
        <v>#DIV/0!</v>
      </c>
      <c r="AM179" s="200">
        <f>AJ179+AG179+AD179</f>
        <v>0</v>
      </c>
      <c r="AN179" s="200">
        <f>AK179+AH179+AE179</f>
        <v>0</v>
      </c>
      <c r="AO179" s="204" t="e">
        <f t="shared" si="112"/>
        <v>#DIV/0!</v>
      </c>
      <c r="AP179" s="88"/>
      <c r="AQ179" s="97"/>
      <c r="AR179" s="98" t="e">
        <f t="shared" si="139"/>
        <v>#DIV/0!</v>
      </c>
      <c r="AS179" s="88"/>
      <c r="AT179" s="97"/>
      <c r="AU179" s="99" t="e">
        <f t="shared" si="140"/>
        <v>#DIV/0!</v>
      </c>
      <c r="AV179" s="86"/>
      <c r="AW179" s="86"/>
      <c r="AX179" s="100" t="e">
        <f t="shared" si="141"/>
        <v>#DIV/0!</v>
      </c>
      <c r="AY179" s="88">
        <f>AV179+AS179+AP179</f>
        <v>0</v>
      </c>
      <c r="AZ179" s="88">
        <f>AW179+AT179+AQ179</f>
        <v>0</v>
      </c>
      <c r="BA179" s="204" t="e">
        <f t="shared" si="130"/>
        <v>#DIV/0!</v>
      </c>
      <c r="BB179" s="88"/>
      <c r="BC179" s="88"/>
      <c r="BD179" s="100" t="e">
        <f t="shared" si="142"/>
        <v>#DIV/0!</v>
      </c>
      <c r="BE179" s="88"/>
      <c r="BF179" s="88"/>
      <c r="BG179" s="100" t="e">
        <f t="shared" si="143"/>
        <v>#DIV/0!</v>
      </c>
      <c r="BH179" s="88"/>
      <c r="BI179" s="97"/>
      <c r="BJ179" s="99" t="e">
        <f t="shared" si="144"/>
        <v>#DIV/0!</v>
      </c>
      <c r="BK179" s="200">
        <f>BH179+BE179+BB179</f>
        <v>0</v>
      </c>
      <c r="BL179" s="200">
        <f>BI179+BF179+BC179</f>
        <v>0</v>
      </c>
      <c r="BM179" s="204" t="e">
        <f t="shared" si="132"/>
        <v>#DIV/0!</v>
      </c>
      <c r="BN179" s="97">
        <f>I179+L179+O179+AE179+AH179+AK179+AQ179+AT179+AW179+BC179+BF179+BI179</f>
        <v>0</v>
      </c>
      <c r="BO179" s="134" t="e">
        <f t="shared" si="145"/>
        <v>#DIV/0!</v>
      </c>
      <c r="BP179" s="197">
        <f t="shared" si="123"/>
        <v>0</v>
      </c>
    </row>
    <row r="180" spans="1:68" ht="13.5" thickBot="1">
      <c r="A180" s="102">
        <v>2</v>
      </c>
      <c r="B180" s="103">
        <v>4</v>
      </c>
      <c r="C180" s="103">
        <v>1</v>
      </c>
      <c r="D180" s="103">
        <v>4</v>
      </c>
      <c r="E180" s="202"/>
      <c r="F180" s="155" t="s">
        <v>51</v>
      </c>
      <c r="G180" s="82">
        <f>G181+G182</f>
        <v>0</v>
      </c>
      <c r="H180" s="82">
        <f>H181+H182</f>
        <v>0</v>
      </c>
      <c r="I180" s="131">
        <f>I181+I182</f>
        <v>0</v>
      </c>
      <c r="J180" s="138" t="e">
        <f t="shared" si="133"/>
        <v>#DIV/0!</v>
      </c>
      <c r="K180" s="203">
        <f>K181+K182</f>
        <v>0</v>
      </c>
      <c r="L180" s="82">
        <f>L181+L182</f>
        <v>0</v>
      </c>
      <c r="M180" s="89" t="e">
        <f t="shared" si="134"/>
        <v>#DIV/0!</v>
      </c>
      <c r="N180" s="82">
        <f aca="true" t="shared" si="157" ref="N180:S180">N181+N182</f>
        <v>0</v>
      </c>
      <c r="O180" s="82">
        <f t="shared" si="157"/>
        <v>0</v>
      </c>
      <c r="P180" s="82" t="e">
        <f t="shared" si="157"/>
        <v>#DIV/0!</v>
      </c>
      <c r="Q180" s="82">
        <f t="shared" si="157"/>
        <v>0</v>
      </c>
      <c r="R180" s="82">
        <f t="shared" si="157"/>
        <v>0</v>
      </c>
      <c r="S180" s="82">
        <f t="shared" si="157"/>
        <v>0</v>
      </c>
      <c r="T180" s="82"/>
      <c r="U180" s="82"/>
      <c r="V180" s="82"/>
      <c r="W180" s="82"/>
      <c r="X180" s="82"/>
      <c r="Y180" s="131"/>
      <c r="Z180" s="426"/>
      <c r="AA180" s="426"/>
      <c r="AB180" s="238">
        <f>AB181+AB182</f>
        <v>0</v>
      </c>
      <c r="AC180" s="443" t="e">
        <f t="shared" si="155"/>
        <v>#DIV/0!</v>
      </c>
      <c r="AD180" s="82">
        <f>AD181+AD182</f>
        <v>0</v>
      </c>
      <c r="AE180" s="131">
        <f>AE181+AE182</f>
        <v>0</v>
      </c>
      <c r="AF180" s="89" t="e">
        <f t="shared" si="136"/>
        <v>#DIV/0!</v>
      </c>
      <c r="AG180" s="82">
        <f>AG181+AG182</f>
        <v>0</v>
      </c>
      <c r="AH180" s="131">
        <f>AH181+AH182</f>
        <v>0</v>
      </c>
      <c r="AI180" s="89" t="e">
        <f t="shared" si="137"/>
        <v>#DIV/0!</v>
      </c>
      <c r="AJ180" s="82">
        <f>AJ181+AJ182</f>
        <v>0</v>
      </c>
      <c r="AK180" s="131">
        <f>AK181+AK182</f>
        <v>0</v>
      </c>
      <c r="AL180" s="89" t="e">
        <f t="shared" si="138"/>
        <v>#DIV/0!</v>
      </c>
      <c r="AM180" s="82">
        <f>AM181+AM182</f>
        <v>0</v>
      </c>
      <c r="AN180" s="82">
        <f>AN181+AN182</f>
        <v>0</v>
      </c>
      <c r="AO180" s="204" t="e">
        <f t="shared" si="112"/>
        <v>#DIV/0!</v>
      </c>
      <c r="AP180" s="82">
        <f>AP181+AP182</f>
        <v>0</v>
      </c>
      <c r="AQ180" s="131">
        <f>AQ181+AQ182</f>
        <v>0</v>
      </c>
      <c r="AR180" s="98" t="e">
        <f t="shared" si="139"/>
        <v>#DIV/0!</v>
      </c>
      <c r="AS180" s="82">
        <f>AS181+AS182</f>
        <v>0</v>
      </c>
      <c r="AT180" s="131">
        <f>AT181+AT182</f>
        <v>0</v>
      </c>
      <c r="AU180" s="99" t="e">
        <f t="shared" si="140"/>
        <v>#DIV/0!</v>
      </c>
      <c r="AV180" s="82">
        <f>AV181+AV182</f>
        <v>0</v>
      </c>
      <c r="AW180" s="82">
        <f>AW181+AW182</f>
        <v>0</v>
      </c>
      <c r="AX180" s="100" t="e">
        <f t="shared" si="141"/>
        <v>#DIV/0!</v>
      </c>
      <c r="AY180" s="82">
        <f>AY181+AY182</f>
        <v>0</v>
      </c>
      <c r="AZ180" s="82">
        <f>AZ181+AZ182</f>
        <v>0</v>
      </c>
      <c r="BA180" s="204" t="e">
        <f t="shared" si="130"/>
        <v>#DIV/0!</v>
      </c>
      <c r="BB180" s="82"/>
      <c r="BC180" s="82"/>
      <c r="BD180" s="100" t="e">
        <f t="shared" si="142"/>
        <v>#DIV/0!</v>
      </c>
      <c r="BE180" s="82"/>
      <c r="BF180" s="82"/>
      <c r="BG180" s="100" t="e">
        <f t="shared" si="143"/>
        <v>#DIV/0!</v>
      </c>
      <c r="BH180" s="82">
        <f>BH181+BH182</f>
        <v>0</v>
      </c>
      <c r="BI180" s="131">
        <f>BI181+BI182</f>
        <v>0</v>
      </c>
      <c r="BJ180" s="99" t="e">
        <f t="shared" si="144"/>
        <v>#DIV/0!</v>
      </c>
      <c r="BK180" s="82">
        <f>BK181+BK182</f>
        <v>0</v>
      </c>
      <c r="BL180" s="82">
        <f>BL181+BL182</f>
        <v>0</v>
      </c>
      <c r="BM180" s="204" t="e">
        <f t="shared" si="132"/>
        <v>#DIV/0!</v>
      </c>
      <c r="BN180" s="131">
        <f>BN181+BN182</f>
        <v>0</v>
      </c>
      <c r="BO180" s="134" t="e">
        <f t="shared" si="145"/>
        <v>#DIV/0!</v>
      </c>
      <c r="BP180" s="197">
        <f t="shared" si="123"/>
        <v>0</v>
      </c>
    </row>
    <row r="181" spans="1:68" s="78" customFormat="1" ht="13.5" thickBot="1">
      <c r="A181" s="83">
        <v>2</v>
      </c>
      <c r="B181" s="84">
        <v>4</v>
      </c>
      <c r="C181" s="84">
        <v>1</v>
      </c>
      <c r="D181" s="84">
        <v>4</v>
      </c>
      <c r="E181" s="85" t="s">
        <v>149</v>
      </c>
      <c r="F181" s="90" t="s">
        <v>52</v>
      </c>
      <c r="G181" s="88">
        <v>0</v>
      </c>
      <c r="H181" s="88"/>
      <c r="I181" s="97"/>
      <c r="J181" s="138" t="e">
        <f t="shared" si="133"/>
        <v>#DIV/0!</v>
      </c>
      <c r="K181" s="148"/>
      <c r="L181" s="88"/>
      <c r="M181" s="89" t="e">
        <f t="shared" si="134"/>
        <v>#DIV/0!</v>
      </c>
      <c r="N181" s="88"/>
      <c r="O181" s="88"/>
      <c r="P181" s="89" t="e">
        <f t="shared" si="135"/>
        <v>#DIV/0!</v>
      </c>
      <c r="Q181" s="200">
        <f>N181+K181+H181</f>
        <v>0</v>
      </c>
      <c r="R181" s="200"/>
      <c r="S181" s="200"/>
      <c r="T181" s="200"/>
      <c r="U181" s="200"/>
      <c r="V181" s="200"/>
      <c r="W181" s="200"/>
      <c r="X181" s="200"/>
      <c r="Y181" s="421"/>
      <c r="Z181" s="425"/>
      <c r="AA181" s="425"/>
      <c r="AB181" s="238">
        <f>+I181+L181+O181+S181+T181+U181+V181+W181+X181+Y181+Z181+AA181</f>
        <v>0</v>
      </c>
      <c r="AC181" s="443" t="e">
        <f t="shared" si="155"/>
        <v>#DIV/0!</v>
      </c>
      <c r="AD181" s="88"/>
      <c r="AE181" s="97"/>
      <c r="AF181" s="89" t="e">
        <f t="shared" si="136"/>
        <v>#DIV/0!</v>
      </c>
      <c r="AG181" s="88"/>
      <c r="AH181" s="97"/>
      <c r="AI181" s="89" t="e">
        <f t="shared" si="137"/>
        <v>#DIV/0!</v>
      </c>
      <c r="AJ181" s="88"/>
      <c r="AK181" s="97"/>
      <c r="AL181" s="89" t="e">
        <f t="shared" si="138"/>
        <v>#DIV/0!</v>
      </c>
      <c r="AM181" s="200">
        <f aca="true" t="shared" si="158" ref="AM181:AN183">AJ181+AG181+AD181</f>
        <v>0</v>
      </c>
      <c r="AN181" s="200">
        <f t="shared" si="158"/>
        <v>0</v>
      </c>
      <c r="AO181" s="204" t="e">
        <f t="shared" si="112"/>
        <v>#DIV/0!</v>
      </c>
      <c r="AP181" s="88"/>
      <c r="AQ181" s="97"/>
      <c r="AR181" s="98" t="e">
        <f t="shared" si="139"/>
        <v>#DIV/0!</v>
      </c>
      <c r="AS181" s="88"/>
      <c r="AT181" s="97"/>
      <c r="AU181" s="99" t="e">
        <f t="shared" si="140"/>
        <v>#DIV/0!</v>
      </c>
      <c r="AV181" s="86"/>
      <c r="AW181" s="86"/>
      <c r="AX181" s="100" t="e">
        <f t="shared" si="141"/>
        <v>#DIV/0!</v>
      </c>
      <c r="AY181" s="88">
        <f aca="true" t="shared" si="159" ref="AY181:AZ183">AV181+AS181+AP181</f>
        <v>0</v>
      </c>
      <c r="AZ181" s="88">
        <f t="shared" si="159"/>
        <v>0</v>
      </c>
      <c r="BA181" s="204" t="e">
        <f t="shared" si="130"/>
        <v>#DIV/0!</v>
      </c>
      <c r="BB181" s="88"/>
      <c r="BC181" s="88"/>
      <c r="BD181" s="100" t="e">
        <f t="shared" si="142"/>
        <v>#DIV/0!</v>
      </c>
      <c r="BE181" s="88"/>
      <c r="BF181" s="88"/>
      <c r="BG181" s="100" t="e">
        <f t="shared" si="143"/>
        <v>#DIV/0!</v>
      </c>
      <c r="BH181" s="88"/>
      <c r="BI181" s="97"/>
      <c r="BJ181" s="99" t="e">
        <f t="shared" si="144"/>
        <v>#DIV/0!</v>
      </c>
      <c r="BK181" s="200">
        <f aca="true" t="shared" si="160" ref="BK181:BL183">BH181+BE181+BB181</f>
        <v>0</v>
      </c>
      <c r="BL181" s="200">
        <f t="shared" si="160"/>
        <v>0</v>
      </c>
      <c r="BM181" s="204" t="e">
        <f t="shared" si="132"/>
        <v>#DIV/0!</v>
      </c>
      <c r="BN181" s="97">
        <f>I181+L181+O181+AE181+AH181+AK181+AQ181+AT181+AW181+BC181+BF181+BI181</f>
        <v>0</v>
      </c>
      <c r="BO181" s="134" t="e">
        <f t="shared" si="145"/>
        <v>#DIV/0!</v>
      </c>
      <c r="BP181" s="197">
        <f t="shared" si="123"/>
        <v>0</v>
      </c>
    </row>
    <row r="182" spans="1:68" s="78" customFormat="1" ht="13.5" thickBot="1">
      <c r="A182" s="83">
        <v>2</v>
      </c>
      <c r="B182" s="84">
        <v>4</v>
      </c>
      <c r="C182" s="84">
        <v>1</v>
      </c>
      <c r="D182" s="84">
        <v>4</v>
      </c>
      <c r="E182" s="85" t="s">
        <v>150</v>
      </c>
      <c r="F182" s="90" t="s">
        <v>231</v>
      </c>
      <c r="G182" s="88">
        <v>0</v>
      </c>
      <c r="H182" s="88"/>
      <c r="I182" s="97">
        <v>0</v>
      </c>
      <c r="J182" s="138" t="e">
        <f t="shared" si="133"/>
        <v>#DIV/0!</v>
      </c>
      <c r="K182" s="148"/>
      <c r="L182" s="88">
        <v>0</v>
      </c>
      <c r="M182" s="89" t="e">
        <f t="shared" si="134"/>
        <v>#DIV/0!</v>
      </c>
      <c r="N182" s="88"/>
      <c r="O182" s="88">
        <v>0</v>
      </c>
      <c r="P182" s="89" t="e">
        <f t="shared" si="135"/>
        <v>#DIV/0!</v>
      </c>
      <c r="Q182" s="200">
        <f>N182+K182+H182</f>
        <v>0</v>
      </c>
      <c r="R182" s="200"/>
      <c r="S182" s="200"/>
      <c r="T182" s="200"/>
      <c r="U182" s="200"/>
      <c r="V182" s="200"/>
      <c r="W182" s="200"/>
      <c r="X182" s="200"/>
      <c r="Y182" s="421"/>
      <c r="Z182" s="425"/>
      <c r="AA182" s="425"/>
      <c r="AB182" s="238">
        <f>+I182+L182+O182+S182+T182+U182+V182+W182+X182+Y182+Z182+AA182</f>
        <v>0</v>
      </c>
      <c r="AC182" s="443" t="e">
        <f t="shared" si="155"/>
        <v>#DIV/0!</v>
      </c>
      <c r="AD182" s="88"/>
      <c r="AE182" s="97"/>
      <c r="AF182" s="89" t="e">
        <f t="shared" si="136"/>
        <v>#DIV/0!</v>
      </c>
      <c r="AG182" s="88"/>
      <c r="AH182" s="97"/>
      <c r="AI182" s="89" t="e">
        <f t="shared" si="137"/>
        <v>#DIV/0!</v>
      </c>
      <c r="AJ182" s="88"/>
      <c r="AK182" s="97"/>
      <c r="AL182" s="89" t="e">
        <f t="shared" si="138"/>
        <v>#DIV/0!</v>
      </c>
      <c r="AM182" s="200">
        <f t="shared" si="158"/>
        <v>0</v>
      </c>
      <c r="AN182" s="200">
        <f t="shared" si="158"/>
        <v>0</v>
      </c>
      <c r="AO182" s="204" t="e">
        <f t="shared" si="112"/>
        <v>#DIV/0!</v>
      </c>
      <c r="AP182" s="88"/>
      <c r="AQ182" s="97"/>
      <c r="AR182" s="98" t="e">
        <f t="shared" si="139"/>
        <v>#DIV/0!</v>
      </c>
      <c r="AS182" s="88"/>
      <c r="AT182" s="97"/>
      <c r="AU182" s="99" t="e">
        <f t="shared" si="140"/>
        <v>#DIV/0!</v>
      </c>
      <c r="AV182" s="86"/>
      <c r="AW182" s="86"/>
      <c r="AX182" s="100" t="e">
        <f t="shared" si="141"/>
        <v>#DIV/0!</v>
      </c>
      <c r="AY182" s="88">
        <f t="shared" si="159"/>
        <v>0</v>
      </c>
      <c r="AZ182" s="88">
        <f t="shared" si="159"/>
        <v>0</v>
      </c>
      <c r="BA182" s="204" t="e">
        <f t="shared" si="130"/>
        <v>#DIV/0!</v>
      </c>
      <c r="BB182" s="88"/>
      <c r="BC182" s="88"/>
      <c r="BD182" s="100" t="e">
        <f t="shared" si="142"/>
        <v>#DIV/0!</v>
      </c>
      <c r="BE182" s="88"/>
      <c r="BF182" s="88"/>
      <c r="BG182" s="100" t="e">
        <f t="shared" si="143"/>
        <v>#DIV/0!</v>
      </c>
      <c r="BH182" s="88"/>
      <c r="BI182" s="97"/>
      <c r="BJ182" s="99" t="e">
        <f t="shared" si="144"/>
        <v>#DIV/0!</v>
      </c>
      <c r="BK182" s="200">
        <f t="shared" si="160"/>
        <v>0</v>
      </c>
      <c r="BL182" s="200">
        <f t="shared" si="160"/>
        <v>0</v>
      </c>
      <c r="BM182" s="204" t="e">
        <f t="shared" si="132"/>
        <v>#DIV/0!</v>
      </c>
      <c r="BN182" s="97">
        <f>I182+L182+O182+AE182+AH182+AK182+AQ182+AT182+AW182+BC182+BF182+BI182</f>
        <v>0</v>
      </c>
      <c r="BO182" s="134" t="e">
        <f t="shared" si="145"/>
        <v>#DIV/0!</v>
      </c>
      <c r="BP182" s="197">
        <f t="shared" si="123"/>
        <v>0</v>
      </c>
    </row>
    <row r="183" spans="1:68" ht="22.5" thickBot="1">
      <c r="A183" s="102">
        <v>2</v>
      </c>
      <c r="B183" s="103">
        <v>4</v>
      </c>
      <c r="C183" s="103">
        <v>1</v>
      </c>
      <c r="D183" s="103">
        <v>5</v>
      </c>
      <c r="E183" s="202"/>
      <c r="F183" s="155" t="s">
        <v>55</v>
      </c>
      <c r="G183" s="82">
        <v>0</v>
      </c>
      <c r="H183" s="82"/>
      <c r="I183" s="131"/>
      <c r="J183" s="138" t="e">
        <f t="shared" si="133"/>
        <v>#DIV/0!</v>
      </c>
      <c r="K183" s="203"/>
      <c r="L183" s="82"/>
      <c r="M183" s="89" t="e">
        <f t="shared" si="134"/>
        <v>#DIV/0!</v>
      </c>
      <c r="N183" s="82"/>
      <c r="O183" s="82"/>
      <c r="P183" s="89" t="e">
        <f t="shared" si="135"/>
        <v>#DIV/0!</v>
      </c>
      <c r="Q183" s="200">
        <f>N183+K183+H183</f>
        <v>0</v>
      </c>
      <c r="R183" s="200"/>
      <c r="S183" s="200"/>
      <c r="T183" s="200"/>
      <c r="U183" s="200"/>
      <c r="V183" s="200"/>
      <c r="W183" s="200"/>
      <c r="X183" s="200"/>
      <c r="Y183" s="421"/>
      <c r="Z183" s="425"/>
      <c r="AA183" s="425"/>
      <c r="AB183" s="238">
        <f>+I183+L183+O183+S183+T183+U183+V183+W183+X183+Y183+Z183+AA183</f>
        <v>0</v>
      </c>
      <c r="AC183" s="443" t="e">
        <f t="shared" si="155"/>
        <v>#DIV/0!</v>
      </c>
      <c r="AD183" s="82"/>
      <c r="AE183" s="131"/>
      <c r="AF183" s="89" t="e">
        <f t="shared" si="136"/>
        <v>#DIV/0!</v>
      </c>
      <c r="AG183" s="82"/>
      <c r="AH183" s="131"/>
      <c r="AI183" s="89" t="e">
        <f t="shared" si="137"/>
        <v>#DIV/0!</v>
      </c>
      <c r="AJ183" s="82"/>
      <c r="AK183" s="131"/>
      <c r="AL183" s="89" t="e">
        <f t="shared" si="138"/>
        <v>#DIV/0!</v>
      </c>
      <c r="AM183" s="200">
        <f t="shared" si="158"/>
        <v>0</v>
      </c>
      <c r="AN183" s="200">
        <f t="shared" si="158"/>
        <v>0</v>
      </c>
      <c r="AO183" s="204" t="e">
        <f t="shared" si="112"/>
        <v>#DIV/0!</v>
      </c>
      <c r="AP183" s="82"/>
      <c r="AQ183" s="131"/>
      <c r="AR183" s="98" t="e">
        <f t="shared" si="139"/>
        <v>#DIV/0!</v>
      </c>
      <c r="AS183" s="82"/>
      <c r="AT183" s="131"/>
      <c r="AU183" s="99" t="e">
        <f t="shared" si="140"/>
        <v>#DIV/0!</v>
      </c>
      <c r="AV183" s="87"/>
      <c r="AW183" s="87"/>
      <c r="AX183" s="100" t="e">
        <f t="shared" si="141"/>
        <v>#DIV/0!</v>
      </c>
      <c r="AY183" s="88">
        <f t="shared" si="159"/>
        <v>0</v>
      </c>
      <c r="AZ183" s="88">
        <f t="shared" si="159"/>
        <v>0</v>
      </c>
      <c r="BA183" s="204" t="e">
        <f t="shared" si="130"/>
        <v>#DIV/0!</v>
      </c>
      <c r="BB183" s="82"/>
      <c r="BC183" s="82"/>
      <c r="BD183" s="100" t="e">
        <f t="shared" si="142"/>
        <v>#DIV/0!</v>
      </c>
      <c r="BE183" s="82"/>
      <c r="BF183" s="82"/>
      <c r="BG183" s="100" t="e">
        <f t="shared" si="143"/>
        <v>#DIV/0!</v>
      </c>
      <c r="BH183" s="82"/>
      <c r="BI183" s="131"/>
      <c r="BJ183" s="99" t="e">
        <f t="shared" si="144"/>
        <v>#DIV/0!</v>
      </c>
      <c r="BK183" s="200">
        <f t="shared" si="160"/>
        <v>0</v>
      </c>
      <c r="BL183" s="200">
        <f t="shared" si="160"/>
        <v>0</v>
      </c>
      <c r="BM183" s="204" t="e">
        <f t="shared" si="132"/>
        <v>#DIV/0!</v>
      </c>
      <c r="BN183" s="97">
        <f>I183+L183+O183+AE183+AH183+AK183+AQ183+AT183+AW183+BC183+BF183+BI183</f>
        <v>0</v>
      </c>
      <c r="BO183" s="134" t="e">
        <f t="shared" si="145"/>
        <v>#DIV/0!</v>
      </c>
      <c r="BP183" s="197">
        <f t="shared" si="123"/>
        <v>0</v>
      </c>
    </row>
    <row r="184" spans="1:68" ht="22.5" thickBot="1">
      <c r="A184" s="102">
        <v>2</v>
      </c>
      <c r="B184" s="103">
        <v>4</v>
      </c>
      <c r="C184" s="103">
        <v>1</v>
      </c>
      <c r="D184" s="103">
        <v>6</v>
      </c>
      <c r="E184" s="202"/>
      <c r="F184" s="155" t="s">
        <v>166</v>
      </c>
      <c r="G184" s="82">
        <f>G185+G186</f>
        <v>0</v>
      </c>
      <c r="H184" s="82">
        <f>H185+H186</f>
        <v>0</v>
      </c>
      <c r="I184" s="131">
        <f>I185+I186</f>
        <v>0</v>
      </c>
      <c r="J184" s="138" t="e">
        <f t="shared" si="133"/>
        <v>#DIV/0!</v>
      </c>
      <c r="K184" s="203">
        <f>K185+K186</f>
        <v>0</v>
      </c>
      <c r="L184" s="82">
        <f>L185+L186</f>
        <v>0</v>
      </c>
      <c r="M184" s="89" t="e">
        <f t="shared" si="134"/>
        <v>#DIV/0!</v>
      </c>
      <c r="N184" s="82">
        <f>N185+N186</f>
        <v>0</v>
      </c>
      <c r="O184" s="82">
        <f>O185+O186</f>
        <v>0</v>
      </c>
      <c r="P184" s="89" t="e">
        <f t="shared" si="135"/>
        <v>#DIV/0!</v>
      </c>
      <c r="Q184" s="82">
        <f>Q185+Q186</f>
        <v>0</v>
      </c>
      <c r="R184" s="82"/>
      <c r="S184" s="82"/>
      <c r="T184" s="82"/>
      <c r="U184" s="82"/>
      <c r="V184" s="82"/>
      <c r="W184" s="82"/>
      <c r="X184" s="82"/>
      <c r="Y184" s="131"/>
      <c r="Z184" s="426"/>
      <c r="AA184" s="426"/>
      <c r="AB184" s="238">
        <f>AB185+AB186</f>
        <v>0</v>
      </c>
      <c r="AC184" s="443" t="e">
        <f t="shared" si="155"/>
        <v>#DIV/0!</v>
      </c>
      <c r="AD184" s="82">
        <f>AD185+AD186</f>
        <v>0</v>
      </c>
      <c r="AE184" s="131">
        <f>AE185+AE186</f>
        <v>0</v>
      </c>
      <c r="AF184" s="89" t="e">
        <f t="shared" si="136"/>
        <v>#DIV/0!</v>
      </c>
      <c r="AG184" s="82">
        <f>AG185+AG186</f>
        <v>0</v>
      </c>
      <c r="AH184" s="131">
        <f>AH185+AH186</f>
        <v>0</v>
      </c>
      <c r="AI184" s="89" t="e">
        <f t="shared" si="137"/>
        <v>#DIV/0!</v>
      </c>
      <c r="AJ184" s="82">
        <f>AJ185+AJ186</f>
        <v>0</v>
      </c>
      <c r="AK184" s="131">
        <f>AK185+AK186</f>
        <v>0</v>
      </c>
      <c r="AL184" s="89" t="e">
        <f t="shared" si="138"/>
        <v>#DIV/0!</v>
      </c>
      <c r="AM184" s="82">
        <f>AM185+AM186</f>
        <v>0</v>
      </c>
      <c r="AN184" s="82">
        <f>AN185+AN186</f>
        <v>0</v>
      </c>
      <c r="AO184" s="204" t="e">
        <f t="shared" si="112"/>
        <v>#DIV/0!</v>
      </c>
      <c r="AP184" s="82">
        <f>AP185+AP186</f>
        <v>0</v>
      </c>
      <c r="AQ184" s="131">
        <f>AQ185+AQ186</f>
        <v>0</v>
      </c>
      <c r="AR184" s="98" t="e">
        <f t="shared" si="139"/>
        <v>#DIV/0!</v>
      </c>
      <c r="AS184" s="82">
        <f>AS185+AS186</f>
        <v>0</v>
      </c>
      <c r="AT184" s="131">
        <f>AT185+AT186</f>
        <v>0</v>
      </c>
      <c r="AU184" s="99" t="e">
        <f t="shared" si="140"/>
        <v>#DIV/0!</v>
      </c>
      <c r="AV184" s="82">
        <f>AV185+AV186</f>
        <v>0</v>
      </c>
      <c r="AW184" s="82">
        <f>AW185+AW186</f>
        <v>0</v>
      </c>
      <c r="AX184" s="100" t="e">
        <f t="shared" si="141"/>
        <v>#DIV/0!</v>
      </c>
      <c r="AY184" s="82">
        <f>AY185+AY186</f>
        <v>0</v>
      </c>
      <c r="AZ184" s="82">
        <f>AZ185+AZ186</f>
        <v>0</v>
      </c>
      <c r="BA184" s="204" t="e">
        <f t="shared" si="130"/>
        <v>#DIV/0!</v>
      </c>
      <c r="BB184" s="82"/>
      <c r="BC184" s="82"/>
      <c r="BD184" s="100" t="e">
        <f t="shared" si="142"/>
        <v>#DIV/0!</v>
      </c>
      <c r="BE184" s="82"/>
      <c r="BF184" s="82"/>
      <c r="BG184" s="100" t="e">
        <f t="shared" si="143"/>
        <v>#DIV/0!</v>
      </c>
      <c r="BH184" s="82">
        <f>BH185+BH186</f>
        <v>0</v>
      </c>
      <c r="BI184" s="131">
        <f>BI185+BI186</f>
        <v>0</v>
      </c>
      <c r="BJ184" s="99" t="e">
        <f t="shared" si="144"/>
        <v>#DIV/0!</v>
      </c>
      <c r="BK184" s="82">
        <f>BK185+BK186</f>
        <v>0</v>
      </c>
      <c r="BL184" s="82">
        <f>BL185+BL186</f>
        <v>0</v>
      </c>
      <c r="BM184" s="204" t="e">
        <f t="shared" si="132"/>
        <v>#DIV/0!</v>
      </c>
      <c r="BN184" s="131">
        <f>BN185+BN186</f>
        <v>0</v>
      </c>
      <c r="BO184" s="134" t="e">
        <f t="shared" si="145"/>
        <v>#DIV/0!</v>
      </c>
      <c r="BP184" s="197">
        <f t="shared" si="123"/>
        <v>0</v>
      </c>
    </row>
    <row r="185" spans="1:68" s="78" customFormat="1" ht="23.25" thickBot="1">
      <c r="A185" s="83">
        <v>2</v>
      </c>
      <c r="B185" s="84">
        <v>4</v>
      </c>
      <c r="C185" s="84">
        <v>1</v>
      </c>
      <c r="D185" s="84">
        <v>6</v>
      </c>
      <c r="E185" s="85" t="s">
        <v>149</v>
      </c>
      <c r="F185" s="90" t="s">
        <v>54</v>
      </c>
      <c r="G185" s="88">
        <v>0</v>
      </c>
      <c r="H185" s="88"/>
      <c r="I185" s="97"/>
      <c r="J185" s="138" t="e">
        <f t="shared" si="133"/>
        <v>#DIV/0!</v>
      </c>
      <c r="K185" s="148"/>
      <c r="L185" s="88"/>
      <c r="M185" s="89" t="e">
        <f t="shared" si="134"/>
        <v>#DIV/0!</v>
      </c>
      <c r="N185" s="88"/>
      <c r="O185" s="88"/>
      <c r="P185" s="89" t="e">
        <f>O185/N185</f>
        <v>#DIV/0!</v>
      </c>
      <c r="Q185" s="200">
        <f>N185+K185+H185</f>
        <v>0</v>
      </c>
      <c r="R185" s="200"/>
      <c r="S185" s="200"/>
      <c r="T185" s="200"/>
      <c r="U185" s="200"/>
      <c r="V185" s="200"/>
      <c r="W185" s="200"/>
      <c r="X185" s="200"/>
      <c r="Y185" s="421"/>
      <c r="Z185" s="425"/>
      <c r="AA185" s="425"/>
      <c r="AB185" s="238">
        <f>+I185+L185+O185+S185+T185+U185+V185+W185+X185+Y185+Z185+AA185</f>
        <v>0</v>
      </c>
      <c r="AC185" s="443" t="e">
        <f t="shared" si="155"/>
        <v>#DIV/0!</v>
      </c>
      <c r="AD185" s="88"/>
      <c r="AE185" s="97"/>
      <c r="AF185" s="89" t="e">
        <f t="shared" si="136"/>
        <v>#DIV/0!</v>
      </c>
      <c r="AG185" s="88"/>
      <c r="AH185" s="97"/>
      <c r="AI185" s="89" t="e">
        <f t="shared" si="137"/>
        <v>#DIV/0!</v>
      </c>
      <c r="AJ185" s="88"/>
      <c r="AK185" s="97"/>
      <c r="AL185" s="89" t="e">
        <f t="shared" si="138"/>
        <v>#DIV/0!</v>
      </c>
      <c r="AM185" s="200">
        <f>AJ185+AG185+AD185</f>
        <v>0</v>
      </c>
      <c r="AN185" s="200">
        <f>AK185+AH185+AE185</f>
        <v>0</v>
      </c>
      <c r="AO185" s="204" t="e">
        <f t="shared" si="112"/>
        <v>#DIV/0!</v>
      </c>
      <c r="AP185" s="88"/>
      <c r="AQ185" s="97"/>
      <c r="AR185" s="98" t="e">
        <f t="shared" si="139"/>
        <v>#DIV/0!</v>
      </c>
      <c r="AS185" s="88"/>
      <c r="AT185" s="97"/>
      <c r="AU185" s="99" t="e">
        <f t="shared" si="140"/>
        <v>#DIV/0!</v>
      </c>
      <c r="AV185" s="86"/>
      <c r="AW185" s="86"/>
      <c r="AX185" s="100" t="e">
        <f t="shared" si="141"/>
        <v>#DIV/0!</v>
      </c>
      <c r="AY185" s="88">
        <f>AV185+AS185+AP185</f>
        <v>0</v>
      </c>
      <c r="AZ185" s="88">
        <f>AW185+AT185+AQ185</f>
        <v>0</v>
      </c>
      <c r="BA185" s="204" t="e">
        <f t="shared" si="130"/>
        <v>#DIV/0!</v>
      </c>
      <c r="BB185" s="88"/>
      <c r="BC185" s="88"/>
      <c r="BD185" s="100" t="e">
        <f t="shared" si="142"/>
        <v>#DIV/0!</v>
      </c>
      <c r="BE185" s="88"/>
      <c r="BF185" s="88"/>
      <c r="BG185" s="100" t="e">
        <f t="shared" si="143"/>
        <v>#DIV/0!</v>
      </c>
      <c r="BH185" s="88"/>
      <c r="BI185" s="97"/>
      <c r="BJ185" s="99" t="e">
        <f t="shared" si="144"/>
        <v>#DIV/0!</v>
      </c>
      <c r="BK185" s="200">
        <f>BH185+BE185+BB185</f>
        <v>0</v>
      </c>
      <c r="BL185" s="200">
        <f>BI185+BF185+BC185</f>
        <v>0</v>
      </c>
      <c r="BM185" s="204" t="e">
        <f t="shared" si="132"/>
        <v>#DIV/0!</v>
      </c>
      <c r="BN185" s="97">
        <f>I185+L185+O185+AE185+AH185+AK185+AQ185+AT185+AW185+BC185+BF185+BI185</f>
        <v>0</v>
      </c>
      <c r="BO185" s="134" t="e">
        <f t="shared" si="145"/>
        <v>#DIV/0!</v>
      </c>
      <c r="BP185" s="197">
        <f t="shared" si="123"/>
        <v>0</v>
      </c>
    </row>
    <row r="186" spans="1:68" s="78" customFormat="1" ht="23.25" thickBot="1">
      <c r="A186" s="83">
        <v>2</v>
      </c>
      <c r="B186" s="84">
        <v>4</v>
      </c>
      <c r="C186" s="84">
        <v>1</v>
      </c>
      <c r="D186" s="84">
        <v>6</v>
      </c>
      <c r="E186" s="85" t="s">
        <v>152</v>
      </c>
      <c r="F186" s="90" t="s">
        <v>131</v>
      </c>
      <c r="G186" s="88">
        <v>0</v>
      </c>
      <c r="H186" s="88"/>
      <c r="I186" s="97"/>
      <c r="J186" s="138" t="e">
        <f t="shared" si="133"/>
        <v>#DIV/0!</v>
      </c>
      <c r="K186" s="148"/>
      <c r="L186" s="88"/>
      <c r="M186" s="89" t="e">
        <f t="shared" si="134"/>
        <v>#DIV/0!</v>
      </c>
      <c r="N186" s="88"/>
      <c r="O186" s="88"/>
      <c r="P186" s="89" t="e">
        <f t="shared" si="135"/>
        <v>#DIV/0!</v>
      </c>
      <c r="Q186" s="200">
        <f>N186+K186+H186</f>
        <v>0</v>
      </c>
      <c r="R186" s="200"/>
      <c r="S186" s="200"/>
      <c r="T186" s="200"/>
      <c r="U186" s="200"/>
      <c r="V186" s="200"/>
      <c r="W186" s="200"/>
      <c r="X186" s="200"/>
      <c r="Y186" s="421"/>
      <c r="Z186" s="425"/>
      <c r="AA186" s="425"/>
      <c r="AB186" s="238">
        <f>+I186+L186+O186+S186+T186+U186+V186+W186+X186+Y186+Z186+AA186</f>
        <v>0</v>
      </c>
      <c r="AC186" s="443" t="e">
        <f t="shared" si="155"/>
        <v>#DIV/0!</v>
      </c>
      <c r="AD186" s="88"/>
      <c r="AE186" s="97"/>
      <c r="AF186" s="89" t="e">
        <f t="shared" si="136"/>
        <v>#DIV/0!</v>
      </c>
      <c r="AG186" s="88"/>
      <c r="AH186" s="97"/>
      <c r="AI186" s="89" t="e">
        <f t="shared" si="137"/>
        <v>#DIV/0!</v>
      </c>
      <c r="AJ186" s="88"/>
      <c r="AK186" s="97"/>
      <c r="AL186" s="89" t="e">
        <f t="shared" si="138"/>
        <v>#DIV/0!</v>
      </c>
      <c r="AM186" s="200">
        <f>AJ186+AG186+AD186</f>
        <v>0</v>
      </c>
      <c r="AN186" s="200">
        <f>AK186+AH186+AE186</f>
        <v>0</v>
      </c>
      <c r="AO186" s="204" t="e">
        <f t="shared" si="112"/>
        <v>#DIV/0!</v>
      </c>
      <c r="AP186" s="88"/>
      <c r="AQ186" s="97"/>
      <c r="AR186" s="98" t="e">
        <f t="shared" si="139"/>
        <v>#DIV/0!</v>
      </c>
      <c r="AS186" s="88"/>
      <c r="AT186" s="97"/>
      <c r="AU186" s="99" t="e">
        <f t="shared" si="140"/>
        <v>#DIV/0!</v>
      </c>
      <c r="AV186" s="86"/>
      <c r="AW186" s="86"/>
      <c r="AX186" s="100" t="e">
        <f t="shared" si="141"/>
        <v>#DIV/0!</v>
      </c>
      <c r="AY186" s="88">
        <f>AV186+AS186+AP186</f>
        <v>0</v>
      </c>
      <c r="AZ186" s="88">
        <f>AW186+AT186+AQ186</f>
        <v>0</v>
      </c>
      <c r="BA186" s="204" t="e">
        <f t="shared" si="130"/>
        <v>#DIV/0!</v>
      </c>
      <c r="BB186" s="88"/>
      <c r="BC186" s="88"/>
      <c r="BD186" s="100" t="e">
        <f t="shared" si="142"/>
        <v>#DIV/0!</v>
      </c>
      <c r="BE186" s="88"/>
      <c r="BF186" s="88"/>
      <c r="BG186" s="100" t="e">
        <f t="shared" si="143"/>
        <v>#DIV/0!</v>
      </c>
      <c r="BH186" s="88"/>
      <c r="BI186" s="97"/>
      <c r="BJ186" s="99" t="e">
        <f t="shared" si="144"/>
        <v>#DIV/0!</v>
      </c>
      <c r="BK186" s="200">
        <f>BH186+BE186+BB186</f>
        <v>0</v>
      </c>
      <c r="BL186" s="200">
        <f>BI186+BF186+BC186</f>
        <v>0</v>
      </c>
      <c r="BM186" s="204" t="e">
        <f t="shared" si="132"/>
        <v>#DIV/0!</v>
      </c>
      <c r="BN186" s="97">
        <f>I186+L186+O186+AE186+AH186+AK186+AQ186+AT186+AW186+BC186+BF186+BI186</f>
        <v>0</v>
      </c>
      <c r="BO186" s="134" t="e">
        <f t="shared" si="145"/>
        <v>#DIV/0!</v>
      </c>
      <c r="BP186" s="197">
        <f t="shared" si="123"/>
        <v>0</v>
      </c>
    </row>
    <row r="187" spans="1:68" s="78" customFormat="1" ht="13.5" thickBot="1">
      <c r="A187" s="105"/>
      <c r="B187" s="106"/>
      <c r="C187" s="106"/>
      <c r="D187" s="106"/>
      <c r="E187" s="107"/>
      <c r="F187" s="91"/>
      <c r="G187" s="110"/>
      <c r="H187" s="110"/>
      <c r="I187" s="132"/>
      <c r="J187" s="139" t="e">
        <f t="shared" si="133"/>
        <v>#DIV/0!</v>
      </c>
      <c r="K187" s="151"/>
      <c r="L187" s="110"/>
      <c r="M187" s="101" t="e">
        <f t="shared" si="134"/>
        <v>#DIV/0!</v>
      </c>
      <c r="N187" s="110"/>
      <c r="O187" s="110"/>
      <c r="P187" s="101" t="e">
        <f t="shared" si="135"/>
        <v>#DIV/0!</v>
      </c>
      <c r="Q187" s="209"/>
      <c r="R187" s="209"/>
      <c r="S187" s="209"/>
      <c r="T187" s="209"/>
      <c r="U187" s="209"/>
      <c r="V187" s="209"/>
      <c r="W187" s="209"/>
      <c r="X187" s="209"/>
      <c r="Y187" s="422"/>
      <c r="Z187" s="425"/>
      <c r="AA187" s="425"/>
      <c r="AB187" s="238">
        <f>+I187+L187+O187+S187+T187+U187+V187+W187+X187+Y187+Z187</f>
        <v>0</v>
      </c>
      <c r="AC187" s="445" t="e">
        <f t="shared" si="155"/>
        <v>#DIV/0!</v>
      </c>
      <c r="AD187" s="110"/>
      <c r="AE187" s="132"/>
      <c r="AF187" s="101" t="e">
        <f t="shared" si="136"/>
        <v>#DIV/0!</v>
      </c>
      <c r="AG187" s="110"/>
      <c r="AH187" s="132"/>
      <c r="AI187" s="101" t="e">
        <f t="shared" si="137"/>
        <v>#DIV/0!</v>
      </c>
      <c r="AJ187" s="110"/>
      <c r="AK187" s="132"/>
      <c r="AL187" s="101" t="e">
        <f t="shared" si="138"/>
        <v>#DIV/0!</v>
      </c>
      <c r="AM187" s="209"/>
      <c r="AN187" s="209"/>
      <c r="AO187" s="210" t="e">
        <f t="shared" si="112"/>
        <v>#DIV/0!</v>
      </c>
      <c r="AP187" s="110"/>
      <c r="AQ187" s="132"/>
      <c r="AR187" s="98" t="e">
        <f t="shared" si="139"/>
        <v>#DIV/0!</v>
      </c>
      <c r="AS187" s="110"/>
      <c r="AT187" s="132"/>
      <c r="AU187" s="108" t="e">
        <f t="shared" si="140"/>
        <v>#DIV/0!</v>
      </c>
      <c r="AV187" s="152"/>
      <c r="AW187" s="152"/>
      <c r="AX187" s="109" t="e">
        <f t="shared" si="141"/>
        <v>#DIV/0!</v>
      </c>
      <c r="AY187" s="110"/>
      <c r="AZ187" s="110"/>
      <c r="BA187" s="210" t="e">
        <f t="shared" si="130"/>
        <v>#DIV/0!</v>
      </c>
      <c r="BB187" s="110"/>
      <c r="BC187" s="110"/>
      <c r="BD187" s="109" t="e">
        <f t="shared" si="142"/>
        <v>#DIV/0!</v>
      </c>
      <c r="BE187" s="110"/>
      <c r="BF187" s="110"/>
      <c r="BG187" s="109" t="e">
        <f t="shared" si="143"/>
        <v>#DIV/0!</v>
      </c>
      <c r="BH187" s="110"/>
      <c r="BI187" s="132"/>
      <c r="BJ187" s="108" t="e">
        <f t="shared" si="144"/>
        <v>#DIV/0!</v>
      </c>
      <c r="BK187" s="209"/>
      <c r="BL187" s="209"/>
      <c r="BM187" s="210" t="e">
        <f t="shared" si="132"/>
        <v>#DIV/0!</v>
      </c>
      <c r="BN187" s="132"/>
      <c r="BO187" s="135" t="e">
        <f t="shared" si="145"/>
        <v>#DIV/0!</v>
      </c>
      <c r="BP187" s="197">
        <f t="shared" si="123"/>
        <v>0</v>
      </c>
    </row>
    <row r="188" spans="1:68" ht="28.5" customHeight="1" thickBot="1">
      <c r="A188" s="192">
        <v>2</v>
      </c>
      <c r="B188" s="193">
        <v>6</v>
      </c>
      <c r="C188" s="193"/>
      <c r="D188" s="193"/>
      <c r="E188" s="194"/>
      <c r="F188" s="211" t="s">
        <v>66</v>
      </c>
      <c r="G188" s="182">
        <f>G190+G196+G214+G203+G211</f>
        <v>603000</v>
      </c>
      <c r="H188" s="182">
        <f>H190+H196+H214+H203</f>
        <v>0</v>
      </c>
      <c r="I188" s="180">
        <f aca="true" t="shared" si="161" ref="I188:R188">I190+I196+I214+I203+L211</f>
        <v>0</v>
      </c>
      <c r="J188" s="180" t="e">
        <f t="shared" si="161"/>
        <v>#DIV/0!</v>
      </c>
      <c r="K188" s="180">
        <f t="shared" si="161"/>
        <v>7500</v>
      </c>
      <c r="L188" s="180">
        <f t="shared" si="161"/>
        <v>55868.44</v>
      </c>
      <c r="M188" s="180" t="e">
        <f t="shared" si="161"/>
        <v>#DIV/0!</v>
      </c>
      <c r="N188" s="180">
        <f t="shared" si="161"/>
        <v>7500</v>
      </c>
      <c r="O188" s="180">
        <f>O190+O196+O214+O203</f>
        <v>19703.22</v>
      </c>
      <c r="P188" s="180" t="e">
        <f t="shared" si="161"/>
        <v>#DIV/0!</v>
      </c>
      <c r="Q188" s="180">
        <f t="shared" si="161"/>
        <v>0</v>
      </c>
      <c r="R188" s="180">
        <f t="shared" si="161"/>
        <v>0</v>
      </c>
      <c r="S188" s="180">
        <f aca="true" t="shared" si="162" ref="S188:Z188">S190+S196+S214+S203+V211</f>
        <v>70450</v>
      </c>
      <c r="T188" s="180">
        <f t="shared" si="162"/>
        <v>0</v>
      </c>
      <c r="U188" s="180">
        <f>U190+U196+U214+U203+X211+U211</f>
        <v>26500.44</v>
      </c>
      <c r="V188" s="180">
        <f t="shared" si="162"/>
        <v>14062.06</v>
      </c>
      <c r="W188" s="180">
        <f t="shared" si="162"/>
        <v>46102.6</v>
      </c>
      <c r="X188" s="180">
        <f t="shared" si="162"/>
        <v>52330</v>
      </c>
      <c r="Y188" s="180">
        <f>Y190+Y196+Y214+Y203+Y211</f>
        <v>0</v>
      </c>
      <c r="Z188" s="180">
        <f t="shared" si="162"/>
        <v>0</v>
      </c>
      <c r="AA188" s="180">
        <f>AA190+AA196+AA214+AA200+AA203+AD211</f>
        <v>0</v>
      </c>
      <c r="AB188" s="180">
        <f>+AB190+AB196+AB200+AB203+AB211+AB224</f>
        <v>285016.76</v>
      </c>
      <c r="AC188" s="446" t="e">
        <f t="shared" si="155"/>
        <v>#DIV/0!</v>
      </c>
      <c r="AD188" s="182">
        <f>AD190+AD196+AD214+AD203</f>
        <v>0</v>
      </c>
      <c r="AE188" s="180">
        <f>AE190+AE196+AE214+AE203</f>
        <v>0</v>
      </c>
      <c r="AF188" s="178" t="e">
        <f t="shared" si="136"/>
        <v>#DIV/0!</v>
      </c>
      <c r="AG188" s="182">
        <f>AG190+AG196+AG214+AG203</f>
        <v>0</v>
      </c>
      <c r="AH188" s="180">
        <f>AH190+AH196+AH214+AH203</f>
        <v>0</v>
      </c>
      <c r="AI188" s="178" t="e">
        <f t="shared" si="137"/>
        <v>#DIV/0!</v>
      </c>
      <c r="AJ188" s="182">
        <f>AJ190+AJ196+AJ214+AJ203</f>
        <v>0</v>
      </c>
      <c r="AK188" s="180">
        <f>AK190+AK196+AK214+AK203</f>
        <v>0</v>
      </c>
      <c r="AL188" s="178" t="e">
        <f t="shared" si="138"/>
        <v>#DIV/0!</v>
      </c>
      <c r="AM188" s="182">
        <f>AM190+AM196+AM214+AM203</f>
        <v>0</v>
      </c>
      <c r="AN188" s="182">
        <f>AN190+AN196+AN214+AN203</f>
        <v>0</v>
      </c>
      <c r="AO188" s="212" t="e">
        <f t="shared" si="112"/>
        <v>#DIV/0!</v>
      </c>
      <c r="AP188" s="182">
        <f>AP190+AP196+AP214+AP203</f>
        <v>0</v>
      </c>
      <c r="AQ188" s="180">
        <f>AQ190+AQ196+AQ214+AQ203</f>
        <v>0</v>
      </c>
      <c r="AR188" s="179" t="e">
        <f t="shared" si="139"/>
        <v>#DIV/0!</v>
      </c>
      <c r="AS188" s="182">
        <f>AS190+AS196+AS214+AS203</f>
        <v>0</v>
      </c>
      <c r="AT188" s="180">
        <f>AT190+AT196+AT214+AT203</f>
        <v>0</v>
      </c>
      <c r="AU188" s="180" t="e">
        <f t="shared" si="140"/>
        <v>#DIV/0!</v>
      </c>
      <c r="AV188" s="182">
        <f>AV190+AV196+AV214+AV203</f>
        <v>0</v>
      </c>
      <c r="AW188" s="182">
        <f>AW190+AW196+AW214+AW203</f>
        <v>0</v>
      </c>
      <c r="AX188" s="182" t="e">
        <f t="shared" si="141"/>
        <v>#DIV/0!</v>
      </c>
      <c r="AY188" s="182">
        <f>AY190+AY196+AY214+AY203</f>
        <v>0</v>
      </c>
      <c r="AZ188" s="182">
        <f>AZ190+AZ196+AZ214+AZ203</f>
        <v>0</v>
      </c>
      <c r="BA188" s="212" t="e">
        <f t="shared" si="130"/>
        <v>#DIV/0!</v>
      </c>
      <c r="BB188" s="182"/>
      <c r="BC188" s="182"/>
      <c r="BD188" s="182" t="e">
        <f t="shared" si="142"/>
        <v>#DIV/0!</v>
      </c>
      <c r="BE188" s="182"/>
      <c r="BF188" s="182"/>
      <c r="BG188" s="182" t="e">
        <f t="shared" si="143"/>
        <v>#DIV/0!</v>
      </c>
      <c r="BH188" s="182">
        <f>BH190+BH196+BH214+BH203</f>
        <v>0</v>
      </c>
      <c r="BI188" s="180">
        <f>BI190+BI196+BI214+BI203</f>
        <v>0</v>
      </c>
      <c r="BJ188" s="180" t="e">
        <f t="shared" si="144"/>
        <v>#DIV/0!</v>
      </c>
      <c r="BK188" s="182">
        <f>BK190+BK196+BK214+BK203</f>
        <v>0</v>
      </c>
      <c r="BL188" s="182">
        <f>BL190+BL196+BL214+BL203</f>
        <v>0</v>
      </c>
      <c r="BM188" s="212" t="e">
        <f t="shared" si="132"/>
        <v>#DIV/0!</v>
      </c>
      <c r="BN188" s="180">
        <f>BN190+BN196+BN214+BN203</f>
        <v>109882.51999999999</v>
      </c>
      <c r="BO188" s="178">
        <f t="shared" si="145"/>
        <v>0.18222640132669982</v>
      </c>
      <c r="BP188" s="197">
        <f t="shared" si="123"/>
        <v>317983.24</v>
      </c>
    </row>
    <row r="189" spans="1:68" s="78" customFormat="1" ht="13.5" thickBot="1">
      <c r="A189" s="125"/>
      <c r="B189" s="126"/>
      <c r="C189" s="127"/>
      <c r="D189" s="127"/>
      <c r="E189" s="128"/>
      <c r="F189" s="130"/>
      <c r="G189" s="81"/>
      <c r="H189" s="81"/>
      <c r="I189" s="111"/>
      <c r="J189" s="112"/>
      <c r="K189" s="113"/>
      <c r="L189" s="114"/>
      <c r="M189" s="115"/>
      <c r="N189" s="114"/>
      <c r="O189" s="114"/>
      <c r="P189" s="115"/>
      <c r="Q189" s="214"/>
      <c r="R189" s="214"/>
      <c r="S189" s="214"/>
      <c r="T189" s="214"/>
      <c r="U189" s="214"/>
      <c r="V189" s="214"/>
      <c r="W189" s="214"/>
      <c r="X189" s="214"/>
      <c r="Y189" s="214"/>
      <c r="Z189" s="430"/>
      <c r="AA189" s="425"/>
      <c r="AB189" s="232"/>
      <c r="AC189" s="442"/>
      <c r="AD189" s="81"/>
      <c r="AE189" s="111"/>
      <c r="AF189" s="115"/>
      <c r="AG189" s="81"/>
      <c r="AH189" s="111"/>
      <c r="AI189" s="115"/>
      <c r="AJ189" s="81"/>
      <c r="AK189" s="111"/>
      <c r="AL189" s="115"/>
      <c r="AM189" s="214"/>
      <c r="AN189" s="214"/>
      <c r="AO189" s="201"/>
      <c r="AP189" s="81"/>
      <c r="AQ189" s="111"/>
      <c r="AR189" s="117"/>
      <c r="AS189" s="81"/>
      <c r="AT189" s="111"/>
      <c r="AU189" s="118"/>
      <c r="AV189" s="116"/>
      <c r="AW189" s="116"/>
      <c r="AX189" s="81"/>
      <c r="AY189" s="114"/>
      <c r="AZ189" s="114"/>
      <c r="BA189" s="201"/>
      <c r="BB189" s="114"/>
      <c r="BC189" s="114"/>
      <c r="BD189" s="81"/>
      <c r="BE189" s="114"/>
      <c r="BF189" s="114"/>
      <c r="BG189" s="81"/>
      <c r="BH189" s="114"/>
      <c r="BI189" s="111"/>
      <c r="BJ189" s="118"/>
      <c r="BK189" s="214"/>
      <c r="BL189" s="214"/>
      <c r="BM189" s="201"/>
      <c r="BN189" s="118"/>
      <c r="BO189" s="115"/>
      <c r="BP189" s="197">
        <f t="shared" si="123"/>
        <v>0</v>
      </c>
    </row>
    <row r="190" spans="1:68" s="76" customFormat="1" ht="13.5" thickBot="1">
      <c r="A190" s="102">
        <v>2</v>
      </c>
      <c r="B190" s="103">
        <v>6</v>
      </c>
      <c r="C190" s="103">
        <v>1</v>
      </c>
      <c r="D190" s="103"/>
      <c r="E190" s="104"/>
      <c r="F190" s="155" t="s">
        <v>108</v>
      </c>
      <c r="G190" s="82">
        <f>G191+G192+G194+G193</f>
        <v>435000</v>
      </c>
      <c r="H190" s="82">
        <f>H191+H192+H194</f>
        <v>0</v>
      </c>
      <c r="I190" s="131">
        <f>I191+I192+I194</f>
        <v>0</v>
      </c>
      <c r="J190" s="138" t="e">
        <f t="shared" si="133"/>
        <v>#DIV/0!</v>
      </c>
      <c r="K190" s="203">
        <f>K191+K192+K194</f>
        <v>0</v>
      </c>
      <c r="L190" s="82">
        <f>L191+L192+L194</f>
        <v>55868.44</v>
      </c>
      <c r="M190" s="89" t="e">
        <f t="shared" si="134"/>
        <v>#DIV/0!</v>
      </c>
      <c r="N190" s="82">
        <f aca="true" t="shared" si="163" ref="N190:S190">N191+N192+N194</f>
        <v>0</v>
      </c>
      <c r="O190" s="82">
        <f t="shared" si="163"/>
        <v>19703.22</v>
      </c>
      <c r="P190" s="82" t="e">
        <f t="shared" si="163"/>
        <v>#DIV/0!</v>
      </c>
      <c r="Q190" s="82">
        <f t="shared" si="163"/>
        <v>0</v>
      </c>
      <c r="R190" s="82">
        <f t="shared" si="163"/>
        <v>0</v>
      </c>
      <c r="S190" s="82">
        <f t="shared" si="163"/>
        <v>70450</v>
      </c>
      <c r="T190" s="82">
        <f>T191+T192+T194+T193</f>
        <v>0</v>
      </c>
      <c r="U190" s="82">
        <f>U191+U192+U194+U193</f>
        <v>26500.44</v>
      </c>
      <c r="V190" s="82">
        <f>V191+V192+V194+V193</f>
        <v>14062.06</v>
      </c>
      <c r="W190" s="82">
        <f>W191+W192+W194+W193</f>
        <v>46102.6</v>
      </c>
      <c r="X190" s="82">
        <f>X191+X192+X194+X193</f>
        <v>0</v>
      </c>
      <c r="Y190" s="82">
        <f>+Y191+Y192+Y193</f>
        <v>0</v>
      </c>
      <c r="Z190" s="82">
        <f>+Z191+Z192+Z193+Z194</f>
        <v>0</v>
      </c>
      <c r="AA190" s="82">
        <v>0</v>
      </c>
      <c r="AB190" s="232">
        <f>+I190+L190+O190+S190+T190+U190+X190+Y190+Z190+AA190+V190+W190</f>
        <v>232686.76</v>
      </c>
      <c r="AC190" s="443" t="e">
        <f t="shared" si="155"/>
        <v>#DIV/0!</v>
      </c>
      <c r="AD190" s="82">
        <f>AD191+AD192+AD194</f>
        <v>0</v>
      </c>
      <c r="AE190" s="131">
        <f>AE191+AE192+AE194</f>
        <v>0</v>
      </c>
      <c r="AF190" s="89" t="e">
        <f t="shared" si="136"/>
        <v>#DIV/0!</v>
      </c>
      <c r="AG190" s="82">
        <f>AG191+AG192+AG194</f>
        <v>0</v>
      </c>
      <c r="AH190" s="131">
        <f>AH191+AH192+AH194</f>
        <v>0</v>
      </c>
      <c r="AI190" s="89" t="e">
        <f t="shared" si="137"/>
        <v>#DIV/0!</v>
      </c>
      <c r="AJ190" s="82">
        <f>AJ191+AJ192+AJ194</f>
        <v>0</v>
      </c>
      <c r="AK190" s="131">
        <f>AK191+AK192+AK194</f>
        <v>0</v>
      </c>
      <c r="AL190" s="89" t="e">
        <f t="shared" si="138"/>
        <v>#DIV/0!</v>
      </c>
      <c r="AM190" s="82">
        <f>AM191+AM192+AM194</f>
        <v>0</v>
      </c>
      <c r="AN190" s="82">
        <f>AN191+AN192+AN194</f>
        <v>0</v>
      </c>
      <c r="AO190" s="204" t="e">
        <f t="shared" si="112"/>
        <v>#DIV/0!</v>
      </c>
      <c r="AP190" s="82">
        <f>AP191+AP192+AP194</f>
        <v>0</v>
      </c>
      <c r="AQ190" s="131">
        <f>AQ191+AQ192+AQ194</f>
        <v>0</v>
      </c>
      <c r="AR190" s="98" t="e">
        <f t="shared" si="139"/>
        <v>#DIV/0!</v>
      </c>
      <c r="AS190" s="82">
        <f>AS191+AS192+AS194</f>
        <v>0</v>
      </c>
      <c r="AT190" s="131">
        <f>AT191+AT192+AT194</f>
        <v>0</v>
      </c>
      <c r="AU190" s="99" t="e">
        <f t="shared" si="140"/>
        <v>#DIV/0!</v>
      </c>
      <c r="AV190" s="82">
        <f>AV191+AV192+AV194</f>
        <v>0</v>
      </c>
      <c r="AW190" s="82">
        <f>AW191+AW192+AW194</f>
        <v>0</v>
      </c>
      <c r="AX190" s="100" t="e">
        <f t="shared" si="141"/>
        <v>#DIV/0!</v>
      </c>
      <c r="AY190" s="82">
        <f>AY191+AY192+AY194</f>
        <v>0</v>
      </c>
      <c r="AZ190" s="82">
        <f>AZ191+AZ192+AZ194</f>
        <v>0</v>
      </c>
      <c r="BA190" s="204" t="e">
        <f t="shared" si="130"/>
        <v>#DIV/0!</v>
      </c>
      <c r="BB190" s="82"/>
      <c r="BC190" s="82"/>
      <c r="BD190" s="100" t="e">
        <f t="shared" si="142"/>
        <v>#DIV/0!</v>
      </c>
      <c r="BE190" s="82"/>
      <c r="BF190" s="82"/>
      <c r="BG190" s="100" t="e">
        <f t="shared" si="143"/>
        <v>#DIV/0!</v>
      </c>
      <c r="BH190" s="82">
        <f>BH191+BH192+BH194</f>
        <v>0</v>
      </c>
      <c r="BI190" s="131">
        <f>BI191+BI192+BI194</f>
        <v>0</v>
      </c>
      <c r="BJ190" s="99" t="e">
        <f t="shared" si="144"/>
        <v>#DIV/0!</v>
      </c>
      <c r="BK190" s="82">
        <f>BK191+BK192+BK194</f>
        <v>0</v>
      </c>
      <c r="BL190" s="82">
        <f>BL191+BL192+BL194</f>
        <v>0</v>
      </c>
      <c r="BM190" s="204" t="e">
        <f t="shared" si="132"/>
        <v>#DIV/0!</v>
      </c>
      <c r="BN190" s="131">
        <f>BN191+BN192+BN194</f>
        <v>109882.51999999999</v>
      </c>
      <c r="BO190" s="134">
        <f t="shared" si="145"/>
        <v>0.25260349425287354</v>
      </c>
      <c r="BP190" s="197">
        <f t="shared" si="123"/>
        <v>202313.24</v>
      </c>
    </row>
    <row r="191" spans="1:68" ht="13.5" thickBot="1">
      <c r="A191" s="102">
        <v>2</v>
      </c>
      <c r="B191" s="103">
        <v>6</v>
      </c>
      <c r="C191" s="103">
        <v>1</v>
      </c>
      <c r="D191" s="103">
        <v>1</v>
      </c>
      <c r="E191" s="202" t="s">
        <v>261</v>
      </c>
      <c r="F191" s="155" t="s">
        <v>147</v>
      </c>
      <c r="G191" s="82">
        <v>150000</v>
      </c>
      <c r="H191" s="82"/>
      <c r="I191" s="131"/>
      <c r="J191" s="138" t="e">
        <f t="shared" si="133"/>
        <v>#DIV/0!</v>
      </c>
      <c r="K191" s="203"/>
      <c r="L191" s="88">
        <v>5968.44</v>
      </c>
      <c r="M191" s="140" t="e">
        <f t="shared" si="134"/>
        <v>#DIV/0!</v>
      </c>
      <c r="N191" s="88"/>
      <c r="O191" s="88">
        <v>12778.22</v>
      </c>
      <c r="P191" s="89" t="e">
        <f t="shared" si="135"/>
        <v>#DIV/0!</v>
      </c>
      <c r="Q191" s="200">
        <f>N191+K191+H191</f>
        <v>0</v>
      </c>
      <c r="R191" s="200"/>
      <c r="S191" s="200"/>
      <c r="T191" s="200">
        <v>0</v>
      </c>
      <c r="U191" s="200">
        <v>26500.44</v>
      </c>
      <c r="V191" s="200">
        <v>14062.06</v>
      </c>
      <c r="W191" s="200">
        <v>31948.5</v>
      </c>
      <c r="X191" s="200">
        <v>0</v>
      </c>
      <c r="Y191" s="421"/>
      <c r="Z191" s="425">
        <v>0</v>
      </c>
      <c r="AA191" s="425">
        <v>0</v>
      </c>
      <c r="AB191" s="238">
        <f>+I191+L191+O191+S191++V191+T191+U191+X191+Y191+Z191+AA191+W191</f>
        <v>91257.66</v>
      </c>
      <c r="AC191" s="443" t="e">
        <f t="shared" si="155"/>
        <v>#DIV/0!</v>
      </c>
      <c r="AD191" s="82"/>
      <c r="AE191" s="131"/>
      <c r="AF191" s="89" t="e">
        <f t="shared" si="136"/>
        <v>#DIV/0!</v>
      </c>
      <c r="AG191" s="82"/>
      <c r="AH191" s="131"/>
      <c r="AI191" s="89" t="e">
        <f t="shared" si="137"/>
        <v>#DIV/0!</v>
      </c>
      <c r="AJ191" s="82"/>
      <c r="AK191" s="131"/>
      <c r="AL191" s="89" t="e">
        <f t="shared" si="138"/>
        <v>#DIV/0!</v>
      </c>
      <c r="AM191" s="200">
        <f aca="true" t="shared" si="164" ref="AM191:AN194">AJ191+AG191+AD191</f>
        <v>0</v>
      </c>
      <c r="AN191" s="200">
        <f t="shared" si="164"/>
        <v>0</v>
      </c>
      <c r="AO191" s="204" t="e">
        <f t="shared" si="112"/>
        <v>#DIV/0!</v>
      </c>
      <c r="AP191" s="82"/>
      <c r="AQ191" s="131"/>
      <c r="AR191" s="98" t="e">
        <f t="shared" si="139"/>
        <v>#DIV/0!</v>
      </c>
      <c r="AS191" s="82"/>
      <c r="AT191" s="131"/>
      <c r="AU191" s="99" t="e">
        <f t="shared" si="140"/>
        <v>#DIV/0!</v>
      </c>
      <c r="AV191" s="87"/>
      <c r="AW191" s="87"/>
      <c r="AX191" s="87" t="e">
        <f>AW191/AV191</f>
        <v>#DIV/0!</v>
      </c>
      <c r="AY191" s="88">
        <f aca="true" t="shared" si="165" ref="AY191:AZ194">AV191+AS191+AP191</f>
        <v>0</v>
      </c>
      <c r="AZ191" s="88">
        <f t="shared" si="165"/>
        <v>0</v>
      </c>
      <c r="BA191" s="204" t="e">
        <f t="shared" si="130"/>
        <v>#DIV/0!</v>
      </c>
      <c r="BB191" s="82"/>
      <c r="BC191" s="82"/>
      <c r="BD191" s="100" t="e">
        <f t="shared" si="142"/>
        <v>#DIV/0!</v>
      </c>
      <c r="BE191" s="82"/>
      <c r="BF191" s="82"/>
      <c r="BG191" s="100" t="e">
        <f t="shared" si="143"/>
        <v>#DIV/0!</v>
      </c>
      <c r="BH191" s="82"/>
      <c r="BI191" s="131"/>
      <c r="BJ191" s="99" t="e">
        <f t="shared" si="144"/>
        <v>#DIV/0!</v>
      </c>
      <c r="BK191" s="200">
        <f aca="true" t="shared" si="166" ref="BK191:BL194">BH191+BE191+BB191</f>
        <v>0</v>
      </c>
      <c r="BL191" s="200">
        <f t="shared" si="166"/>
        <v>0</v>
      </c>
      <c r="BM191" s="204" t="e">
        <f t="shared" si="132"/>
        <v>#DIV/0!</v>
      </c>
      <c r="BN191" s="97">
        <v>53057.52</v>
      </c>
      <c r="BO191" s="134">
        <f t="shared" si="145"/>
        <v>0.3537168</v>
      </c>
      <c r="BP191" s="197">
        <f t="shared" si="123"/>
        <v>58742.34</v>
      </c>
    </row>
    <row r="192" spans="1:68" ht="13.5" thickBot="1">
      <c r="A192" s="102">
        <v>2</v>
      </c>
      <c r="B192" s="103">
        <v>6</v>
      </c>
      <c r="C192" s="103">
        <v>1</v>
      </c>
      <c r="D192" s="103">
        <v>3</v>
      </c>
      <c r="E192" s="202" t="s">
        <v>261</v>
      </c>
      <c r="F192" s="155" t="s">
        <v>196</v>
      </c>
      <c r="G192" s="82">
        <f>170000+40000</f>
        <v>210000</v>
      </c>
      <c r="H192" s="82"/>
      <c r="I192" s="131"/>
      <c r="J192" s="138" t="e">
        <f t="shared" si="133"/>
        <v>#DIV/0!</v>
      </c>
      <c r="K192" s="203"/>
      <c r="L192" s="88">
        <v>49900</v>
      </c>
      <c r="M192" s="89" t="e">
        <f t="shared" si="134"/>
        <v>#DIV/0!</v>
      </c>
      <c r="N192" s="82"/>
      <c r="O192" s="88">
        <v>6925</v>
      </c>
      <c r="P192" s="89" t="e">
        <f t="shared" si="135"/>
        <v>#DIV/0!</v>
      </c>
      <c r="Q192" s="200">
        <f>N192+K192+H192</f>
        <v>0</v>
      </c>
      <c r="R192" s="200"/>
      <c r="S192" s="200">
        <v>70450</v>
      </c>
      <c r="T192" s="200"/>
      <c r="U192" s="200"/>
      <c r="V192" s="200"/>
      <c r="W192" s="200"/>
      <c r="X192" s="200"/>
      <c r="Y192" s="421">
        <v>0</v>
      </c>
      <c r="Z192" s="425">
        <v>0</v>
      </c>
      <c r="AA192" s="425">
        <v>0</v>
      </c>
      <c r="AB192" s="238">
        <f>+AA192+Z192+Y192+S192+L192+I192+V192+O192</f>
        <v>127275</v>
      </c>
      <c r="AC192" s="443" t="e">
        <f t="shared" si="155"/>
        <v>#DIV/0!</v>
      </c>
      <c r="AD192" s="82"/>
      <c r="AE192" s="131"/>
      <c r="AF192" s="89" t="e">
        <f t="shared" si="136"/>
        <v>#DIV/0!</v>
      </c>
      <c r="AG192" s="82"/>
      <c r="AH192" s="131"/>
      <c r="AI192" s="89" t="e">
        <f t="shared" si="137"/>
        <v>#DIV/0!</v>
      </c>
      <c r="AJ192" s="82"/>
      <c r="AK192" s="131"/>
      <c r="AL192" s="89" t="e">
        <f t="shared" si="138"/>
        <v>#DIV/0!</v>
      </c>
      <c r="AM192" s="200">
        <f t="shared" si="164"/>
        <v>0</v>
      </c>
      <c r="AN192" s="200">
        <f t="shared" si="164"/>
        <v>0</v>
      </c>
      <c r="AO192" s="204" t="e">
        <f t="shared" si="112"/>
        <v>#DIV/0!</v>
      </c>
      <c r="AP192" s="82"/>
      <c r="AQ192" s="131"/>
      <c r="AR192" s="98" t="e">
        <f t="shared" si="139"/>
        <v>#DIV/0!</v>
      </c>
      <c r="AS192" s="82"/>
      <c r="AT192" s="131"/>
      <c r="AU192" s="99" t="e">
        <f t="shared" si="140"/>
        <v>#DIV/0!</v>
      </c>
      <c r="AV192" s="87"/>
      <c r="AW192" s="87"/>
      <c r="AX192" s="87" t="e">
        <f>AW192/AV192</f>
        <v>#DIV/0!</v>
      </c>
      <c r="AY192" s="88">
        <f t="shared" si="165"/>
        <v>0</v>
      </c>
      <c r="AZ192" s="88">
        <f t="shared" si="165"/>
        <v>0</v>
      </c>
      <c r="BA192" s="204" t="e">
        <f t="shared" si="130"/>
        <v>#DIV/0!</v>
      </c>
      <c r="BB192" s="82"/>
      <c r="BC192" s="82"/>
      <c r="BD192" s="100" t="e">
        <f t="shared" si="142"/>
        <v>#DIV/0!</v>
      </c>
      <c r="BE192" s="82"/>
      <c r="BF192" s="82"/>
      <c r="BG192" s="100" t="e">
        <f t="shared" si="143"/>
        <v>#DIV/0!</v>
      </c>
      <c r="BH192" s="82"/>
      <c r="BI192" s="131"/>
      <c r="BJ192" s="99" t="e">
        <f t="shared" si="144"/>
        <v>#DIV/0!</v>
      </c>
      <c r="BK192" s="200">
        <f t="shared" si="166"/>
        <v>0</v>
      </c>
      <c r="BL192" s="200">
        <f t="shared" si="166"/>
        <v>0</v>
      </c>
      <c r="BM192" s="204" t="e">
        <f t="shared" si="132"/>
        <v>#DIV/0!</v>
      </c>
      <c r="BN192" s="97">
        <f>I192+L192+O192+AE192+AH192+AK192+AQ192+AT192+AW192+BC192+BF192+BI192</f>
        <v>56825</v>
      </c>
      <c r="BO192" s="134">
        <f t="shared" si="145"/>
        <v>0.2705952380952381</v>
      </c>
      <c r="BP192" s="197">
        <f t="shared" si="123"/>
        <v>82725</v>
      </c>
    </row>
    <row r="193" spans="1:68" ht="13.5" thickBot="1">
      <c r="A193" s="102">
        <v>2</v>
      </c>
      <c r="B193" s="103">
        <v>6</v>
      </c>
      <c r="C193" s="103">
        <v>1</v>
      </c>
      <c r="D193" s="103">
        <v>4</v>
      </c>
      <c r="E193" s="202" t="s">
        <v>261</v>
      </c>
      <c r="F193" s="155" t="s">
        <v>244</v>
      </c>
      <c r="G193" s="82">
        <v>25000</v>
      </c>
      <c r="H193" s="82"/>
      <c r="I193" s="131"/>
      <c r="J193" s="138"/>
      <c r="K193" s="203"/>
      <c r="L193" s="82"/>
      <c r="M193" s="89"/>
      <c r="N193" s="82"/>
      <c r="O193" s="82"/>
      <c r="P193" s="89"/>
      <c r="Q193" s="200"/>
      <c r="R193" s="200"/>
      <c r="S193" s="200"/>
      <c r="T193" s="200">
        <v>0</v>
      </c>
      <c r="U193" s="200"/>
      <c r="V193" s="200"/>
      <c r="W193" s="200"/>
      <c r="X193" s="200">
        <v>0</v>
      </c>
      <c r="Y193" s="421"/>
      <c r="Z193" s="425"/>
      <c r="AA193" s="425"/>
      <c r="AB193" s="238">
        <f>+I193+L193+O193+S193+T193+U193+V193+W193+X193+Y193+Z193+AA193</f>
        <v>0</v>
      </c>
      <c r="AC193" s="443"/>
      <c r="AD193" s="82"/>
      <c r="AE193" s="131"/>
      <c r="AF193" s="89"/>
      <c r="AG193" s="82"/>
      <c r="AH193" s="131"/>
      <c r="AI193" s="89"/>
      <c r="AJ193" s="82"/>
      <c r="AK193" s="131"/>
      <c r="AL193" s="89"/>
      <c r="AM193" s="200"/>
      <c r="AN193" s="200"/>
      <c r="AO193" s="204"/>
      <c r="AP193" s="82"/>
      <c r="AQ193" s="131"/>
      <c r="AR193" s="98"/>
      <c r="AS193" s="82"/>
      <c r="AT193" s="131"/>
      <c r="AU193" s="99"/>
      <c r="AV193" s="87"/>
      <c r="AW193" s="87"/>
      <c r="AX193" s="87"/>
      <c r="AY193" s="88"/>
      <c r="AZ193" s="88"/>
      <c r="BA193" s="204"/>
      <c r="BB193" s="82"/>
      <c r="BC193" s="82"/>
      <c r="BD193" s="100"/>
      <c r="BE193" s="82"/>
      <c r="BF193" s="82"/>
      <c r="BG193" s="100"/>
      <c r="BH193" s="82"/>
      <c r="BI193" s="131"/>
      <c r="BJ193" s="99"/>
      <c r="BK193" s="200"/>
      <c r="BL193" s="200"/>
      <c r="BM193" s="204"/>
      <c r="BN193" s="97"/>
      <c r="BO193" s="134">
        <f t="shared" si="145"/>
        <v>0</v>
      </c>
      <c r="BP193" s="197">
        <f t="shared" si="123"/>
        <v>25000</v>
      </c>
    </row>
    <row r="194" spans="1:68" ht="22.5" thickBot="1">
      <c r="A194" s="102">
        <v>2</v>
      </c>
      <c r="B194" s="103">
        <v>6</v>
      </c>
      <c r="C194" s="103">
        <v>1</v>
      </c>
      <c r="D194" s="103">
        <v>9</v>
      </c>
      <c r="E194" s="202"/>
      <c r="F194" s="155" t="s">
        <v>203</v>
      </c>
      <c r="G194" s="82">
        <v>50000</v>
      </c>
      <c r="H194" s="82"/>
      <c r="I194" s="131"/>
      <c r="J194" s="138" t="e">
        <f t="shared" si="133"/>
        <v>#DIV/0!</v>
      </c>
      <c r="K194" s="203"/>
      <c r="L194" s="82"/>
      <c r="M194" s="89" t="e">
        <f t="shared" si="134"/>
        <v>#DIV/0!</v>
      </c>
      <c r="N194" s="82"/>
      <c r="O194" s="82"/>
      <c r="P194" s="89" t="e">
        <f t="shared" si="135"/>
        <v>#DIV/0!</v>
      </c>
      <c r="Q194" s="200">
        <f>N194+K194+H194</f>
        <v>0</v>
      </c>
      <c r="R194" s="200"/>
      <c r="S194" s="200"/>
      <c r="T194" s="200"/>
      <c r="U194" s="200">
        <v>0</v>
      </c>
      <c r="V194" s="200"/>
      <c r="W194" s="200">
        <v>14154.1</v>
      </c>
      <c r="X194" s="200"/>
      <c r="Y194" s="421"/>
      <c r="Z194" s="427">
        <v>0</v>
      </c>
      <c r="AA194" s="427">
        <v>0</v>
      </c>
      <c r="AB194" s="232">
        <f>+I194+L194+O194+S194+T194+U194+V194+W194+X194+Y194+Z194+AA194</f>
        <v>14154.1</v>
      </c>
      <c r="AC194" s="443" t="e">
        <f t="shared" si="155"/>
        <v>#DIV/0!</v>
      </c>
      <c r="AD194" s="82"/>
      <c r="AE194" s="131"/>
      <c r="AF194" s="89" t="e">
        <f t="shared" si="136"/>
        <v>#DIV/0!</v>
      </c>
      <c r="AG194" s="82"/>
      <c r="AH194" s="131"/>
      <c r="AI194" s="89" t="e">
        <f t="shared" si="137"/>
        <v>#DIV/0!</v>
      </c>
      <c r="AJ194" s="82"/>
      <c r="AK194" s="131"/>
      <c r="AL194" s="89" t="e">
        <f t="shared" si="138"/>
        <v>#DIV/0!</v>
      </c>
      <c r="AM194" s="200">
        <f t="shared" si="164"/>
        <v>0</v>
      </c>
      <c r="AN194" s="200">
        <f t="shared" si="164"/>
        <v>0</v>
      </c>
      <c r="AO194" s="204" t="e">
        <f t="shared" si="112"/>
        <v>#DIV/0!</v>
      </c>
      <c r="AP194" s="82"/>
      <c r="AQ194" s="131"/>
      <c r="AR194" s="98" t="e">
        <f t="shared" si="139"/>
        <v>#DIV/0!</v>
      </c>
      <c r="AS194" s="82"/>
      <c r="AT194" s="131"/>
      <c r="AU194" s="99" t="e">
        <f t="shared" si="140"/>
        <v>#DIV/0!</v>
      </c>
      <c r="AV194" s="87"/>
      <c r="AW194" s="87"/>
      <c r="AX194" s="87" t="e">
        <f>AW194/AV194</f>
        <v>#DIV/0!</v>
      </c>
      <c r="AY194" s="88">
        <f t="shared" si="165"/>
        <v>0</v>
      </c>
      <c r="AZ194" s="88">
        <f t="shared" si="165"/>
        <v>0</v>
      </c>
      <c r="BA194" s="204" t="e">
        <f t="shared" si="130"/>
        <v>#DIV/0!</v>
      </c>
      <c r="BB194" s="82"/>
      <c r="BC194" s="82"/>
      <c r="BD194" s="100" t="e">
        <f t="shared" si="142"/>
        <v>#DIV/0!</v>
      </c>
      <c r="BE194" s="82"/>
      <c r="BF194" s="82"/>
      <c r="BG194" s="100" t="e">
        <f t="shared" si="143"/>
        <v>#DIV/0!</v>
      </c>
      <c r="BH194" s="82"/>
      <c r="BI194" s="131"/>
      <c r="BJ194" s="99" t="e">
        <f t="shared" si="144"/>
        <v>#DIV/0!</v>
      </c>
      <c r="BK194" s="200">
        <f t="shared" si="166"/>
        <v>0</v>
      </c>
      <c r="BL194" s="200">
        <f t="shared" si="166"/>
        <v>0</v>
      </c>
      <c r="BM194" s="204" t="e">
        <f t="shared" si="132"/>
        <v>#DIV/0!</v>
      </c>
      <c r="BN194" s="97">
        <f>I194+L194+O194+AE194+AH194+AK194+AQ194+AT194+AW194+BC194+BF194+BI194</f>
        <v>0</v>
      </c>
      <c r="BO194" s="134">
        <f t="shared" si="145"/>
        <v>0</v>
      </c>
      <c r="BP194" s="197">
        <f t="shared" si="123"/>
        <v>35845.9</v>
      </c>
    </row>
    <row r="195" spans="1:68" s="78" customFormat="1" ht="13.5" thickBot="1">
      <c r="A195" s="83" t="s">
        <v>7</v>
      </c>
      <c r="B195" s="84" t="s">
        <v>7</v>
      </c>
      <c r="C195" s="84"/>
      <c r="D195" s="84"/>
      <c r="E195" s="104"/>
      <c r="F195" s="90"/>
      <c r="G195" s="82"/>
      <c r="H195" s="82"/>
      <c r="I195" s="97"/>
      <c r="J195" s="138"/>
      <c r="K195" s="148"/>
      <c r="L195" s="88"/>
      <c r="M195" s="89"/>
      <c r="N195" s="88"/>
      <c r="O195" s="88"/>
      <c r="P195" s="89"/>
      <c r="Q195" s="200"/>
      <c r="R195" s="200"/>
      <c r="S195" s="200"/>
      <c r="T195" s="200"/>
      <c r="U195" s="200"/>
      <c r="V195" s="200"/>
      <c r="W195" s="200"/>
      <c r="X195" s="208" t="s">
        <v>7</v>
      </c>
      <c r="Y195" s="421"/>
      <c r="Z195" s="425"/>
      <c r="AA195" s="425"/>
      <c r="AB195" s="232"/>
      <c r="AC195" s="443"/>
      <c r="AD195" s="82"/>
      <c r="AE195" s="97"/>
      <c r="AF195" s="89"/>
      <c r="AG195" s="82"/>
      <c r="AH195" s="97"/>
      <c r="AI195" s="89"/>
      <c r="AJ195" s="82"/>
      <c r="AK195" s="97"/>
      <c r="AL195" s="89"/>
      <c r="AM195" s="200"/>
      <c r="AN195" s="200"/>
      <c r="AO195" s="204"/>
      <c r="AP195" s="82"/>
      <c r="AQ195" s="97"/>
      <c r="AR195" s="98"/>
      <c r="AS195" s="82"/>
      <c r="AT195" s="97"/>
      <c r="AU195" s="99"/>
      <c r="AV195" s="86"/>
      <c r="AW195" s="86"/>
      <c r="AX195" s="87"/>
      <c r="AY195" s="88"/>
      <c r="AZ195" s="88"/>
      <c r="BA195" s="204"/>
      <c r="BB195" s="88"/>
      <c r="BC195" s="88"/>
      <c r="BD195" s="100"/>
      <c r="BE195" s="88"/>
      <c r="BF195" s="88"/>
      <c r="BG195" s="100"/>
      <c r="BH195" s="88"/>
      <c r="BI195" s="97"/>
      <c r="BJ195" s="99"/>
      <c r="BK195" s="200"/>
      <c r="BL195" s="200"/>
      <c r="BM195" s="204"/>
      <c r="BN195" s="131"/>
      <c r="BO195" s="134"/>
      <c r="BP195" s="197">
        <f t="shared" si="123"/>
        <v>0</v>
      </c>
    </row>
    <row r="196" spans="1:68" s="76" customFormat="1" ht="22.5" thickBot="1">
      <c r="A196" s="102">
        <v>2</v>
      </c>
      <c r="B196" s="103">
        <v>6</v>
      </c>
      <c r="C196" s="103">
        <v>2</v>
      </c>
      <c r="D196" s="84"/>
      <c r="E196" s="104"/>
      <c r="F196" s="155" t="s">
        <v>68</v>
      </c>
      <c r="G196" s="82">
        <f>+G198</f>
        <v>0</v>
      </c>
      <c r="H196" s="82">
        <f>+H198</f>
        <v>0</v>
      </c>
      <c r="I196" s="131">
        <f>+I198</f>
        <v>0</v>
      </c>
      <c r="J196" s="138" t="e">
        <f t="shared" si="133"/>
        <v>#DIV/0!</v>
      </c>
      <c r="K196" s="203">
        <f>+K198</f>
        <v>0</v>
      </c>
      <c r="L196" s="82">
        <f>+L198</f>
        <v>0</v>
      </c>
      <c r="M196" s="89" t="e">
        <f t="shared" si="134"/>
        <v>#DIV/0!</v>
      </c>
      <c r="N196" s="82">
        <f>+N198</f>
        <v>0</v>
      </c>
      <c r="O196" s="82">
        <f>+O198</f>
        <v>0</v>
      </c>
      <c r="P196" s="89" t="e">
        <f t="shared" si="135"/>
        <v>#DIV/0!</v>
      </c>
      <c r="Q196" s="82">
        <f>+Q198</f>
        <v>0</v>
      </c>
      <c r="R196" s="82"/>
      <c r="S196" s="82"/>
      <c r="T196" s="82"/>
      <c r="U196" s="82"/>
      <c r="V196" s="82"/>
      <c r="W196" s="82"/>
      <c r="X196" s="82">
        <f>+X197+X198</f>
        <v>52330</v>
      </c>
      <c r="Y196" s="131"/>
      <c r="Z196" s="426">
        <f>+Z197+Z198</f>
        <v>0</v>
      </c>
      <c r="AA196" s="426"/>
      <c r="AB196" s="232">
        <f>+AB197</f>
        <v>52330</v>
      </c>
      <c r="AC196" s="443" t="e">
        <f t="shared" si="155"/>
        <v>#DIV/0!</v>
      </c>
      <c r="AD196" s="82">
        <f>+AD198</f>
        <v>0</v>
      </c>
      <c r="AE196" s="131">
        <f>+AE198</f>
        <v>0</v>
      </c>
      <c r="AF196" s="89" t="e">
        <f t="shared" si="136"/>
        <v>#DIV/0!</v>
      </c>
      <c r="AG196" s="82">
        <f>+AG198</f>
        <v>0</v>
      </c>
      <c r="AH196" s="131">
        <f>+AH198</f>
        <v>0</v>
      </c>
      <c r="AI196" s="89" t="e">
        <f t="shared" si="137"/>
        <v>#DIV/0!</v>
      </c>
      <c r="AJ196" s="82">
        <f>+AJ198</f>
        <v>0</v>
      </c>
      <c r="AK196" s="131">
        <f>+AK198</f>
        <v>0</v>
      </c>
      <c r="AL196" s="89" t="e">
        <f t="shared" si="138"/>
        <v>#DIV/0!</v>
      </c>
      <c r="AM196" s="82">
        <f>+AM198</f>
        <v>0</v>
      </c>
      <c r="AN196" s="82">
        <f>+AN198</f>
        <v>0</v>
      </c>
      <c r="AO196" s="204" t="e">
        <f>AN196/AM196</f>
        <v>#DIV/0!</v>
      </c>
      <c r="AP196" s="82">
        <f>+AP198</f>
        <v>0</v>
      </c>
      <c r="AQ196" s="131">
        <f>+AQ198</f>
        <v>0</v>
      </c>
      <c r="AR196" s="98" t="e">
        <f t="shared" si="139"/>
        <v>#DIV/0!</v>
      </c>
      <c r="AS196" s="82">
        <f>+AS198</f>
        <v>0</v>
      </c>
      <c r="AT196" s="131">
        <f>+AT198</f>
        <v>0</v>
      </c>
      <c r="AU196" s="99" t="e">
        <f t="shared" si="140"/>
        <v>#DIV/0!</v>
      </c>
      <c r="AV196" s="82">
        <f>+AV198</f>
        <v>0</v>
      </c>
      <c r="AW196" s="82">
        <f>+AW198</f>
        <v>0</v>
      </c>
      <c r="AX196" s="87" t="e">
        <f>AW196/AV196</f>
        <v>#DIV/0!</v>
      </c>
      <c r="AY196" s="82">
        <f>+AY198</f>
        <v>0</v>
      </c>
      <c r="AZ196" s="82">
        <f>+AZ198</f>
        <v>0</v>
      </c>
      <c r="BA196" s="204" t="e">
        <f>AZ196/AY196</f>
        <v>#DIV/0!</v>
      </c>
      <c r="BB196" s="82"/>
      <c r="BC196" s="82"/>
      <c r="BD196" s="100" t="e">
        <f t="shared" si="142"/>
        <v>#DIV/0!</v>
      </c>
      <c r="BE196" s="82"/>
      <c r="BF196" s="82"/>
      <c r="BG196" s="100" t="e">
        <f t="shared" si="143"/>
        <v>#DIV/0!</v>
      </c>
      <c r="BH196" s="82">
        <f>+BH198</f>
        <v>0</v>
      </c>
      <c r="BI196" s="131">
        <f>+BI198</f>
        <v>0</v>
      </c>
      <c r="BJ196" s="99" t="e">
        <f t="shared" si="144"/>
        <v>#DIV/0!</v>
      </c>
      <c r="BK196" s="82">
        <f>+BK198</f>
        <v>0</v>
      </c>
      <c r="BL196" s="82">
        <f>+BL198</f>
        <v>0</v>
      </c>
      <c r="BM196" s="204" t="e">
        <f>BL196/BK196</f>
        <v>#DIV/0!</v>
      </c>
      <c r="BN196" s="131">
        <f>+BN198</f>
        <v>0</v>
      </c>
      <c r="BO196" s="134" t="e">
        <f t="shared" si="145"/>
        <v>#DIV/0!</v>
      </c>
      <c r="BP196" s="197">
        <f>+G196-AB196</f>
        <v>-52330</v>
      </c>
    </row>
    <row r="197" spans="1:68" s="76" customFormat="1" ht="13.5" thickBot="1">
      <c r="A197" s="102">
        <v>2</v>
      </c>
      <c r="B197" s="103">
        <v>6</v>
      </c>
      <c r="C197" s="103">
        <v>2</v>
      </c>
      <c r="D197" s="84">
        <v>1</v>
      </c>
      <c r="E197" s="104"/>
      <c r="F197" s="155"/>
      <c r="G197" s="82"/>
      <c r="H197" s="82"/>
      <c r="I197" s="131"/>
      <c r="J197" s="138"/>
      <c r="K197" s="203"/>
      <c r="L197" s="82"/>
      <c r="M197" s="89"/>
      <c r="N197" s="82"/>
      <c r="O197" s="82"/>
      <c r="P197" s="89"/>
      <c r="Q197" s="82"/>
      <c r="R197" s="82"/>
      <c r="S197" s="82"/>
      <c r="T197" s="82"/>
      <c r="U197" s="82"/>
      <c r="V197" s="82"/>
      <c r="W197" s="82"/>
      <c r="X197" s="88">
        <v>52330</v>
      </c>
      <c r="Y197" s="131">
        <v>0</v>
      </c>
      <c r="Z197" s="432">
        <v>0</v>
      </c>
      <c r="AA197" s="426">
        <v>0</v>
      </c>
      <c r="AB197" s="238">
        <f>+X197+Y197+Z197+AA197</f>
        <v>52330</v>
      </c>
      <c r="AC197" s="443"/>
      <c r="AD197" s="82"/>
      <c r="AE197" s="131"/>
      <c r="AF197" s="89"/>
      <c r="AG197" s="82"/>
      <c r="AH197" s="131"/>
      <c r="AI197" s="89"/>
      <c r="AJ197" s="82"/>
      <c r="AK197" s="131"/>
      <c r="AL197" s="89"/>
      <c r="AM197" s="82"/>
      <c r="AN197" s="82"/>
      <c r="AO197" s="204"/>
      <c r="AP197" s="82"/>
      <c r="AQ197" s="131"/>
      <c r="AR197" s="98"/>
      <c r="AS197" s="82"/>
      <c r="AT197" s="131"/>
      <c r="AU197" s="99"/>
      <c r="AV197" s="82"/>
      <c r="AW197" s="82"/>
      <c r="AX197" s="87"/>
      <c r="AY197" s="82"/>
      <c r="AZ197" s="82"/>
      <c r="BA197" s="204"/>
      <c r="BB197" s="82"/>
      <c r="BC197" s="82"/>
      <c r="BD197" s="100"/>
      <c r="BE197" s="82"/>
      <c r="BF197" s="82"/>
      <c r="BG197" s="100"/>
      <c r="BH197" s="82"/>
      <c r="BI197" s="131"/>
      <c r="BJ197" s="99"/>
      <c r="BK197" s="82"/>
      <c r="BL197" s="82"/>
      <c r="BM197" s="204"/>
      <c r="BN197" s="131"/>
      <c r="BO197" s="134"/>
      <c r="BP197" s="197">
        <f>+G197-AB197</f>
        <v>-52330</v>
      </c>
    </row>
    <row r="198" spans="1:68" ht="13.5" thickBot="1">
      <c r="A198" s="102">
        <v>2</v>
      </c>
      <c r="B198" s="103">
        <v>6</v>
      </c>
      <c r="C198" s="103">
        <v>2</v>
      </c>
      <c r="D198" s="103">
        <v>3</v>
      </c>
      <c r="E198" s="202"/>
      <c r="F198" s="155" t="s">
        <v>118</v>
      </c>
      <c r="G198" s="82">
        <v>0</v>
      </c>
      <c r="H198" s="82"/>
      <c r="I198" s="131"/>
      <c r="J198" s="138" t="e">
        <f t="shared" si="133"/>
        <v>#DIV/0!</v>
      </c>
      <c r="K198" s="203"/>
      <c r="L198" s="82"/>
      <c r="M198" s="89" t="e">
        <f t="shared" si="134"/>
        <v>#DIV/0!</v>
      </c>
      <c r="N198" s="82"/>
      <c r="O198" s="82"/>
      <c r="P198" s="89" t="e">
        <f t="shared" si="135"/>
        <v>#DIV/0!</v>
      </c>
      <c r="Q198" s="200">
        <f>N198+K198+H198</f>
        <v>0</v>
      </c>
      <c r="R198" s="200"/>
      <c r="S198" s="200"/>
      <c r="T198" s="200"/>
      <c r="U198" s="200"/>
      <c r="V198" s="200"/>
      <c r="W198" s="200"/>
      <c r="X198" s="200"/>
      <c r="Y198" s="421"/>
      <c r="Z198" s="425">
        <v>0</v>
      </c>
      <c r="AA198" s="425"/>
      <c r="AB198" s="238">
        <f>+I198+L198+O198+S198+T198+U198+V198+W198+X198+Y198+Z198+AA198</f>
        <v>0</v>
      </c>
      <c r="AC198" s="443" t="e">
        <f t="shared" si="155"/>
        <v>#DIV/0!</v>
      </c>
      <c r="AD198" s="82"/>
      <c r="AE198" s="131"/>
      <c r="AF198" s="89" t="e">
        <f t="shared" si="136"/>
        <v>#DIV/0!</v>
      </c>
      <c r="AG198" s="82"/>
      <c r="AH198" s="131"/>
      <c r="AI198" s="89" t="e">
        <f t="shared" si="137"/>
        <v>#DIV/0!</v>
      </c>
      <c r="AJ198" s="82"/>
      <c r="AK198" s="131"/>
      <c r="AL198" s="89" t="e">
        <f t="shared" si="138"/>
        <v>#DIV/0!</v>
      </c>
      <c r="AM198" s="200">
        <f>AJ198+AG198+AD198</f>
        <v>0</v>
      </c>
      <c r="AN198" s="200">
        <f>AK198+AH198+AE198</f>
        <v>0</v>
      </c>
      <c r="AO198" s="204" t="e">
        <f>AN198/AM198</f>
        <v>#DIV/0!</v>
      </c>
      <c r="AP198" s="82"/>
      <c r="AQ198" s="131"/>
      <c r="AR198" s="98" t="e">
        <f t="shared" si="139"/>
        <v>#DIV/0!</v>
      </c>
      <c r="AS198" s="82"/>
      <c r="AT198" s="131"/>
      <c r="AU198" s="99" t="e">
        <f t="shared" si="140"/>
        <v>#DIV/0!</v>
      </c>
      <c r="AV198" s="87"/>
      <c r="AW198" s="87"/>
      <c r="AX198" s="87" t="e">
        <f>AW198/AV198</f>
        <v>#DIV/0!</v>
      </c>
      <c r="AY198" s="88">
        <f>AV198+AS198+AP198</f>
        <v>0</v>
      </c>
      <c r="AZ198" s="88">
        <f>AW198+AT198+AQ198</f>
        <v>0</v>
      </c>
      <c r="BA198" s="204" t="e">
        <f>AZ198/AY198</f>
        <v>#DIV/0!</v>
      </c>
      <c r="BB198" s="82"/>
      <c r="BC198" s="82"/>
      <c r="BD198" s="100" t="e">
        <f t="shared" si="142"/>
        <v>#DIV/0!</v>
      </c>
      <c r="BE198" s="82"/>
      <c r="BF198" s="82"/>
      <c r="BG198" s="100" t="e">
        <f t="shared" si="143"/>
        <v>#DIV/0!</v>
      </c>
      <c r="BH198" s="82"/>
      <c r="BI198" s="131"/>
      <c r="BJ198" s="99" t="e">
        <f t="shared" si="144"/>
        <v>#DIV/0!</v>
      </c>
      <c r="BK198" s="200">
        <f>BH198+BE198+BB198</f>
        <v>0</v>
      </c>
      <c r="BL198" s="200">
        <f>BI198+BF198+BC198</f>
        <v>0</v>
      </c>
      <c r="BM198" s="204" t="e">
        <f>BL198/BK198</f>
        <v>#DIV/0!</v>
      </c>
      <c r="BN198" s="97">
        <f>I198+L198+O198+AE198+AH198+AK198+AQ198+AT198+AW198+BC198+BF198+BI198</f>
        <v>0</v>
      </c>
      <c r="BO198" s="134" t="e">
        <f t="shared" si="145"/>
        <v>#DIV/0!</v>
      </c>
      <c r="BP198" s="197">
        <f t="shared" si="123"/>
        <v>0</v>
      </c>
    </row>
    <row r="199" spans="1:68" ht="13.5" thickBot="1">
      <c r="A199" s="102"/>
      <c r="B199" s="103"/>
      <c r="C199" s="103"/>
      <c r="D199" s="103"/>
      <c r="E199" s="202"/>
      <c r="F199" s="155"/>
      <c r="G199" s="82"/>
      <c r="H199" s="82"/>
      <c r="I199" s="131"/>
      <c r="J199" s="138"/>
      <c r="K199" s="203"/>
      <c r="L199" s="82"/>
      <c r="M199" s="89"/>
      <c r="N199" s="82"/>
      <c r="O199" s="82"/>
      <c r="P199" s="89"/>
      <c r="Q199" s="200"/>
      <c r="R199" s="200"/>
      <c r="S199" s="200"/>
      <c r="T199" s="200"/>
      <c r="U199" s="200"/>
      <c r="V199" s="200"/>
      <c r="W199" s="200"/>
      <c r="X199" s="200"/>
      <c r="Y199" s="421"/>
      <c r="Z199" s="425"/>
      <c r="AA199" s="425"/>
      <c r="AB199" s="238"/>
      <c r="AC199" s="443"/>
      <c r="AD199" s="82"/>
      <c r="AE199" s="131"/>
      <c r="AF199" s="89"/>
      <c r="AG199" s="82"/>
      <c r="AH199" s="131"/>
      <c r="AI199" s="89"/>
      <c r="AJ199" s="82"/>
      <c r="AK199" s="131"/>
      <c r="AL199" s="89"/>
      <c r="AM199" s="200"/>
      <c r="AN199" s="200"/>
      <c r="AO199" s="204"/>
      <c r="AP199" s="82"/>
      <c r="AQ199" s="131"/>
      <c r="AR199" s="98"/>
      <c r="AS199" s="82"/>
      <c r="AT199" s="131"/>
      <c r="AU199" s="99"/>
      <c r="AV199" s="87"/>
      <c r="AW199" s="87"/>
      <c r="AX199" s="87"/>
      <c r="AY199" s="88"/>
      <c r="AZ199" s="88"/>
      <c r="BA199" s="204"/>
      <c r="BB199" s="82"/>
      <c r="BC199" s="82"/>
      <c r="BD199" s="100"/>
      <c r="BE199" s="82"/>
      <c r="BF199" s="82"/>
      <c r="BG199" s="100"/>
      <c r="BH199" s="82"/>
      <c r="BI199" s="131"/>
      <c r="BJ199" s="99"/>
      <c r="BK199" s="200"/>
      <c r="BL199" s="200"/>
      <c r="BM199" s="204"/>
      <c r="BN199" s="97"/>
      <c r="BO199" s="134"/>
      <c r="BP199" s="197"/>
    </row>
    <row r="200" spans="1:68" ht="28.5" customHeight="1" thickBot="1">
      <c r="A200" s="102">
        <v>2</v>
      </c>
      <c r="B200" s="103">
        <v>6</v>
      </c>
      <c r="C200" s="103">
        <v>4</v>
      </c>
      <c r="D200" s="103"/>
      <c r="E200" s="202"/>
      <c r="F200" s="155" t="s">
        <v>256</v>
      </c>
      <c r="G200" s="82"/>
      <c r="H200" s="82"/>
      <c r="I200" s="131"/>
      <c r="J200" s="138"/>
      <c r="K200" s="203"/>
      <c r="L200" s="82"/>
      <c r="M200" s="89"/>
      <c r="N200" s="82"/>
      <c r="O200" s="82"/>
      <c r="P200" s="89"/>
      <c r="Q200" s="200"/>
      <c r="R200" s="200"/>
      <c r="S200" s="200"/>
      <c r="T200" s="200"/>
      <c r="U200" s="200"/>
      <c r="V200" s="200"/>
      <c r="W200" s="200"/>
      <c r="X200" s="200"/>
      <c r="Y200" s="421"/>
      <c r="Z200" s="425"/>
      <c r="AA200" s="427">
        <f>+AA201</f>
        <v>0</v>
      </c>
      <c r="AB200" s="232">
        <f>+AA200</f>
        <v>0</v>
      </c>
      <c r="AC200" s="443"/>
      <c r="AD200" s="82"/>
      <c r="AE200" s="131"/>
      <c r="AF200" s="89"/>
      <c r="AG200" s="82"/>
      <c r="AH200" s="131"/>
      <c r="AI200" s="89"/>
      <c r="AJ200" s="82"/>
      <c r="AK200" s="131"/>
      <c r="AL200" s="89"/>
      <c r="AM200" s="200"/>
      <c r="AN200" s="200"/>
      <c r="AO200" s="204"/>
      <c r="AP200" s="82"/>
      <c r="AQ200" s="131"/>
      <c r="AR200" s="98"/>
      <c r="AS200" s="82"/>
      <c r="AT200" s="131"/>
      <c r="AU200" s="99"/>
      <c r="AV200" s="87"/>
      <c r="AW200" s="87"/>
      <c r="AX200" s="87"/>
      <c r="AY200" s="88"/>
      <c r="AZ200" s="88"/>
      <c r="BA200" s="204"/>
      <c r="BB200" s="82"/>
      <c r="BC200" s="82"/>
      <c r="BD200" s="100"/>
      <c r="BE200" s="82"/>
      <c r="BF200" s="82"/>
      <c r="BG200" s="100"/>
      <c r="BH200" s="82"/>
      <c r="BI200" s="131"/>
      <c r="BJ200" s="99"/>
      <c r="BK200" s="200"/>
      <c r="BL200" s="200"/>
      <c r="BM200" s="204"/>
      <c r="BN200" s="97"/>
      <c r="BO200" s="134"/>
      <c r="BP200" s="197">
        <f>+G200-AB200</f>
        <v>0</v>
      </c>
    </row>
    <row r="201" spans="1:68" ht="13.5" thickBot="1">
      <c r="A201" s="83">
        <v>2</v>
      </c>
      <c r="B201" s="84">
        <v>6</v>
      </c>
      <c r="C201" s="84">
        <v>4</v>
      </c>
      <c r="D201" s="84">
        <v>1</v>
      </c>
      <c r="E201" s="107"/>
      <c r="F201" s="90" t="s">
        <v>257</v>
      </c>
      <c r="G201" s="82"/>
      <c r="H201" s="82"/>
      <c r="I201" s="131"/>
      <c r="J201" s="138"/>
      <c r="K201" s="203"/>
      <c r="L201" s="82"/>
      <c r="M201" s="89"/>
      <c r="N201" s="82"/>
      <c r="O201" s="82"/>
      <c r="P201" s="89"/>
      <c r="Q201" s="200"/>
      <c r="R201" s="200"/>
      <c r="S201" s="200"/>
      <c r="T201" s="200"/>
      <c r="U201" s="200"/>
      <c r="V201" s="200"/>
      <c r="W201" s="200"/>
      <c r="X201" s="200"/>
      <c r="Y201" s="421"/>
      <c r="Z201" s="425"/>
      <c r="AA201" s="425">
        <v>0</v>
      </c>
      <c r="AB201" s="425">
        <f>+AA201</f>
        <v>0</v>
      </c>
      <c r="AC201" s="443"/>
      <c r="AD201" s="82"/>
      <c r="AE201" s="131"/>
      <c r="AF201" s="89"/>
      <c r="AG201" s="82"/>
      <c r="AH201" s="131"/>
      <c r="AI201" s="89"/>
      <c r="AJ201" s="82"/>
      <c r="AK201" s="131"/>
      <c r="AL201" s="89"/>
      <c r="AM201" s="200"/>
      <c r="AN201" s="200"/>
      <c r="AO201" s="204"/>
      <c r="AP201" s="82"/>
      <c r="AQ201" s="131"/>
      <c r="AR201" s="98"/>
      <c r="AS201" s="82"/>
      <c r="AT201" s="131"/>
      <c r="AU201" s="99"/>
      <c r="AV201" s="87"/>
      <c r="AW201" s="87"/>
      <c r="AX201" s="87"/>
      <c r="AY201" s="88"/>
      <c r="AZ201" s="88"/>
      <c r="BA201" s="204"/>
      <c r="BB201" s="82"/>
      <c r="BC201" s="82"/>
      <c r="BD201" s="100"/>
      <c r="BE201" s="82"/>
      <c r="BF201" s="82"/>
      <c r="BG201" s="100"/>
      <c r="BH201" s="82"/>
      <c r="BI201" s="131"/>
      <c r="BJ201" s="99"/>
      <c r="BK201" s="200"/>
      <c r="BL201" s="200"/>
      <c r="BM201" s="204"/>
      <c r="BN201" s="97"/>
      <c r="BO201" s="134"/>
      <c r="BP201" s="197">
        <f>+G201-AB201</f>
        <v>0</v>
      </c>
    </row>
    <row r="202" spans="1:68" s="78" customFormat="1" ht="13.5" thickBot="1">
      <c r="A202" s="83"/>
      <c r="B202" s="84"/>
      <c r="C202" s="84"/>
      <c r="D202" s="84"/>
      <c r="E202" s="104"/>
      <c r="F202" s="90"/>
      <c r="G202" s="88"/>
      <c r="H202" s="88"/>
      <c r="I202" s="97"/>
      <c r="J202" s="138"/>
      <c r="K202" s="148"/>
      <c r="L202" s="88"/>
      <c r="M202" s="89"/>
      <c r="N202" s="88"/>
      <c r="O202" s="88"/>
      <c r="P202" s="89"/>
      <c r="Q202" s="200"/>
      <c r="R202" s="200"/>
      <c r="S202" s="200"/>
      <c r="T202" s="200"/>
      <c r="U202" s="200"/>
      <c r="V202" s="200"/>
      <c r="W202" s="200"/>
      <c r="X202" s="200"/>
      <c r="Y202" s="421"/>
      <c r="Z202" s="425"/>
      <c r="AA202" s="425"/>
      <c r="AB202" s="238"/>
      <c r="AC202" s="443"/>
      <c r="AD202" s="88"/>
      <c r="AE202" s="97"/>
      <c r="AF202" s="89"/>
      <c r="AG202" s="88"/>
      <c r="AH202" s="97"/>
      <c r="AI202" s="89"/>
      <c r="AJ202" s="88"/>
      <c r="AK202" s="97"/>
      <c r="AL202" s="89"/>
      <c r="AM202" s="200"/>
      <c r="AN202" s="200"/>
      <c r="AO202" s="204"/>
      <c r="AP202" s="88"/>
      <c r="AQ202" s="97"/>
      <c r="AR202" s="98"/>
      <c r="AS202" s="88"/>
      <c r="AT202" s="97"/>
      <c r="AU202" s="99"/>
      <c r="AV202" s="86"/>
      <c r="AW202" s="86"/>
      <c r="AX202" s="87"/>
      <c r="AY202" s="88"/>
      <c r="AZ202" s="88"/>
      <c r="BA202" s="204"/>
      <c r="BB202" s="88"/>
      <c r="BC202" s="88"/>
      <c r="BD202" s="100"/>
      <c r="BE202" s="88"/>
      <c r="BF202" s="88"/>
      <c r="BG202" s="100"/>
      <c r="BH202" s="88"/>
      <c r="BI202" s="97"/>
      <c r="BJ202" s="99"/>
      <c r="BK202" s="200"/>
      <c r="BL202" s="200"/>
      <c r="BM202" s="204"/>
      <c r="BN202" s="97"/>
      <c r="BO202" s="134"/>
      <c r="BP202" s="197">
        <f t="shared" si="123"/>
        <v>0</v>
      </c>
    </row>
    <row r="203" spans="1:68" s="76" customFormat="1" ht="29.25" customHeight="1" thickBot="1">
      <c r="A203" s="102">
        <v>2</v>
      </c>
      <c r="B203" s="103">
        <v>6</v>
      </c>
      <c r="C203" s="103">
        <v>5</v>
      </c>
      <c r="D203" s="84"/>
      <c r="E203" s="104"/>
      <c r="F203" s="155" t="s">
        <v>110</v>
      </c>
      <c r="G203" s="82">
        <f>+G204+G205</f>
        <v>168000</v>
      </c>
      <c r="H203" s="82">
        <f>H204</f>
        <v>0</v>
      </c>
      <c r="I203" s="131">
        <f>I204</f>
        <v>0</v>
      </c>
      <c r="J203" s="138" t="e">
        <f t="shared" si="133"/>
        <v>#DIV/0!</v>
      </c>
      <c r="K203" s="203">
        <f>K204</f>
        <v>0</v>
      </c>
      <c r="L203" s="82">
        <f>L204</f>
        <v>0</v>
      </c>
      <c r="M203" s="89" t="e">
        <f t="shared" si="134"/>
        <v>#DIV/0!</v>
      </c>
      <c r="N203" s="82">
        <f>N204</f>
        <v>0</v>
      </c>
      <c r="O203" s="82">
        <f>O204</f>
        <v>0</v>
      </c>
      <c r="P203" s="89" t="e">
        <f t="shared" si="135"/>
        <v>#DIV/0!</v>
      </c>
      <c r="Q203" s="82">
        <f>Q204</f>
        <v>0</v>
      </c>
      <c r="R203" s="82"/>
      <c r="S203" s="82"/>
      <c r="T203" s="82"/>
      <c r="U203" s="82"/>
      <c r="V203" s="82"/>
      <c r="W203" s="82">
        <f>+W204+W212</f>
        <v>0</v>
      </c>
      <c r="X203" s="82"/>
      <c r="Y203" s="131"/>
      <c r="Z203" s="426"/>
      <c r="AA203" s="426">
        <f>+AA206+AA207</f>
        <v>0</v>
      </c>
      <c r="AB203" s="232">
        <f>+AB204+AB206</f>
        <v>0</v>
      </c>
      <c r="AC203" s="443" t="e">
        <f t="shared" si="155"/>
        <v>#DIV/0!</v>
      </c>
      <c r="AD203" s="82">
        <f>AD204</f>
        <v>0</v>
      </c>
      <c r="AE203" s="131">
        <f>AE204</f>
        <v>0</v>
      </c>
      <c r="AF203" s="89" t="e">
        <f t="shared" si="136"/>
        <v>#DIV/0!</v>
      </c>
      <c r="AG203" s="82">
        <f>AG204</f>
        <v>0</v>
      </c>
      <c r="AH203" s="131">
        <f>AH204</f>
        <v>0</v>
      </c>
      <c r="AI203" s="89" t="e">
        <f t="shared" si="137"/>
        <v>#DIV/0!</v>
      </c>
      <c r="AJ203" s="82">
        <f>AJ204</f>
        <v>0</v>
      </c>
      <c r="AK203" s="131">
        <f>AK204</f>
        <v>0</v>
      </c>
      <c r="AL203" s="89" t="e">
        <f t="shared" si="138"/>
        <v>#DIV/0!</v>
      </c>
      <c r="AM203" s="82">
        <f>AM204</f>
        <v>0</v>
      </c>
      <c r="AN203" s="82">
        <f>AN204</f>
        <v>0</v>
      </c>
      <c r="AO203" s="204" t="e">
        <f>AN203/AM203</f>
        <v>#DIV/0!</v>
      </c>
      <c r="AP203" s="82">
        <f>AP204</f>
        <v>0</v>
      </c>
      <c r="AQ203" s="131">
        <f>AQ204</f>
        <v>0</v>
      </c>
      <c r="AR203" s="98" t="e">
        <f t="shared" si="139"/>
        <v>#DIV/0!</v>
      </c>
      <c r="AS203" s="82">
        <f>AS204</f>
        <v>0</v>
      </c>
      <c r="AT203" s="131">
        <f>AT204</f>
        <v>0</v>
      </c>
      <c r="AU203" s="99" t="e">
        <f t="shared" si="140"/>
        <v>#DIV/0!</v>
      </c>
      <c r="AV203" s="82">
        <f>AV204</f>
        <v>0</v>
      </c>
      <c r="AW203" s="82">
        <f>AW204</f>
        <v>0</v>
      </c>
      <c r="AX203" s="87" t="e">
        <f>AW203/AV203</f>
        <v>#DIV/0!</v>
      </c>
      <c r="AY203" s="82">
        <f>AY204</f>
        <v>0</v>
      </c>
      <c r="AZ203" s="82">
        <f>AZ204</f>
        <v>0</v>
      </c>
      <c r="BA203" s="204" t="e">
        <f>AZ203/AY203</f>
        <v>#DIV/0!</v>
      </c>
      <c r="BB203" s="82"/>
      <c r="BC203" s="82"/>
      <c r="BD203" s="100" t="e">
        <f t="shared" si="142"/>
        <v>#DIV/0!</v>
      </c>
      <c r="BE203" s="82"/>
      <c r="BF203" s="82"/>
      <c r="BG203" s="100" t="e">
        <f t="shared" si="143"/>
        <v>#DIV/0!</v>
      </c>
      <c r="BH203" s="82">
        <f>BH204</f>
        <v>0</v>
      </c>
      <c r="BI203" s="131">
        <f>BI204</f>
        <v>0</v>
      </c>
      <c r="BJ203" s="99" t="e">
        <f t="shared" si="144"/>
        <v>#DIV/0!</v>
      </c>
      <c r="BK203" s="82">
        <f>BK204</f>
        <v>0</v>
      </c>
      <c r="BL203" s="82">
        <f>BL204</f>
        <v>0</v>
      </c>
      <c r="BM203" s="204" t="e">
        <f>BL203/BK203</f>
        <v>#DIV/0!</v>
      </c>
      <c r="BN203" s="131">
        <f>BN204</f>
        <v>0</v>
      </c>
      <c r="BO203" s="134">
        <f t="shared" si="145"/>
        <v>0</v>
      </c>
      <c r="BP203" s="197">
        <f t="shared" si="123"/>
        <v>168000</v>
      </c>
    </row>
    <row r="204" spans="1:68" ht="29.25" customHeight="1" thickBot="1">
      <c r="A204" s="102">
        <v>2</v>
      </c>
      <c r="B204" s="103">
        <v>6</v>
      </c>
      <c r="C204" s="103">
        <v>5</v>
      </c>
      <c r="D204" s="103">
        <v>4</v>
      </c>
      <c r="E204" s="202"/>
      <c r="F204" s="155" t="s">
        <v>111</v>
      </c>
      <c r="G204" s="82">
        <v>150000</v>
      </c>
      <c r="H204" s="82"/>
      <c r="I204" s="131"/>
      <c r="J204" s="138" t="e">
        <f t="shared" si="133"/>
        <v>#DIV/0!</v>
      </c>
      <c r="K204" s="203"/>
      <c r="L204" s="82"/>
      <c r="M204" s="89" t="e">
        <f t="shared" si="134"/>
        <v>#DIV/0!</v>
      </c>
      <c r="N204" s="82"/>
      <c r="O204" s="82"/>
      <c r="P204" s="89" t="e">
        <f t="shared" si="135"/>
        <v>#DIV/0!</v>
      </c>
      <c r="Q204" s="200">
        <f>N204+K204+H204</f>
        <v>0</v>
      </c>
      <c r="R204" s="200"/>
      <c r="S204" s="200"/>
      <c r="T204" s="200"/>
      <c r="U204" s="200"/>
      <c r="V204" s="200"/>
      <c r="W204" s="200">
        <v>0</v>
      </c>
      <c r="X204" s="200"/>
      <c r="Y204" s="421"/>
      <c r="Z204" s="425"/>
      <c r="AA204" s="425"/>
      <c r="AB204" s="238">
        <f>+I204+L204+O204+S204+T204+U204+V204+W204+X204+Y204+Z204+AA204</f>
        <v>0</v>
      </c>
      <c r="AC204" s="443" t="e">
        <f t="shared" si="155"/>
        <v>#DIV/0!</v>
      </c>
      <c r="AD204" s="82"/>
      <c r="AE204" s="131"/>
      <c r="AF204" s="89" t="e">
        <f t="shared" si="136"/>
        <v>#DIV/0!</v>
      </c>
      <c r="AG204" s="82"/>
      <c r="AH204" s="131"/>
      <c r="AI204" s="89" t="e">
        <f t="shared" si="137"/>
        <v>#DIV/0!</v>
      </c>
      <c r="AJ204" s="82"/>
      <c r="AK204" s="131"/>
      <c r="AL204" s="89" t="e">
        <f t="shared" si="138"/>
        <v>#DIV/0!</v>
      </c>
      <c r="AM204" s="200">
        <f>AJ204+AG204+AD204</f>
        <v>0</v>
      </c>
      <c r="AN204" s="200">
        <f>AK204+AH204+AE204</f>
        <v>0</v>
      </c>
      <c r="AO204" s="204" t="e">
        <f>AN204/AM204</f>
        <v>#DIV/0!</v>
      </c>
      <c r="AP204" s="82"/>
      <c r="AQ204" s="131"/>
      <c r="AR204" s="98" t="e">
        <f t="shared" si="139"/>
        <v>#DIV/0!</v>
      </c>
      <c r="AS204" s="82"/>
      <c r="AT204" s="131"/>
      <c r="AU204" s="99" t="e">
        <f t="shared" si="140"/>
        <v>#DIV/0!</v>
      </c>
      <c r="AV204" s="87"/>
      <c r="AW204" s="87"/>
      <c r="AX204" s="87" t="e">
        <f>AW204/AV204</f>
        <v>#DIV/0!</v>
      </c>
      <c r="AY204" s="88">
        <f>AV204+AS204+AP204</f>
        <v>0</v>
      </c>
      <c r="AZ204" s="88">
        <f>AW204+AT204+AQ204</f>
        <v>0</v>
      </c>
      <c r="BA204" s="204" t="e">
        <f>AZ204/AY204</f>
        <v>#DIV/0!</v>
      </c>
      <c r="BB204" s="82"/>
      <c r="BC204" s="82"/>
      <c r="BD204" s="100" t="e">
        <f t="shared" si="142"/>
        <v>#DIV/0!</v>
      </c>
      <c r="BE204" s="82"/>
      <c r="BF204" s="82"/>
      <c r="BG204" s="100" t="e">
        <f t="shared" si="143"/>
        <v>#DIV/0!</v>
      </c>
      <c r="BH204" s="82"/>
      <c r="BI204" s="131"/>
      <c r="BJ204" s="99" t="e">
        <f t="shared" si="144"/>
        <v>#DIV/0!</v>
      </c>
      <c r="BK204" s="200">
        <f>BH204+BE204+BB204</f>
        <v>0</v>
      </c>
      <c r="BL204" s="200">
        <f>BI204+BF204+BC204</f>
        <v>0</v>
      </c>
      <c r="BM204" s="204" t="e">
        <f>BL204/BK204</f>
        <v>#DIV/0!</v>
      </c>
      <c r="BN204" s="97">
        <f>I204+L204+O204+AE204+AH204+AK204+AQ204+AT204+AW204+BC204+BF204+BI204</f>
        <v>0</v>
      </c>
      <c r="BO204" s="134">
        <f t="shared" si="145"/>
        <v>0</v>
      </c>
      <c r="BP204" s="197">
        <f t="shared" si="123"/>
        <v>150000</v>
      </c>
    </row>
    <row r="205" spans="1:68" ht="29.25" customHeight="1" thickBot="1">
      <c r="A205" s="102">
        <v>2</v>
      </c>
      <c r="B205" s="103">
        <v>6</v>
      </c>
      <c r="C205" s="103">
        <v>5</v>
      </c>
      <c r="D205" s="103">
        <v>6</v>
      </c>
      <c r="E205" s="202"/>
      <c r="F205" s="155"/>
      <c r="G205" s="82">
        <v>18000</v>
      </c>
      <c r="H205" s="82"/>
      <c r="I205" s="131"/>
      <c r="J205" s="138"/>
      <c r="K205" s="203"/>
      <c r="L205" s="82"/>
      <c r="M205" s="89"/>
      <c r="N205" s="82"/>
      <c r="O205" s="82"/>
      <c r="P205" s="89"/>
      <c r="Q205" s="200"/>
      <c r="R205" s="200"/>
      <c r="S205" s="200"/>
      <c r="T205" s="200"/>
      <c r="U205" s="200"/>
      <c r="V205" s="200"/>
      <c r="W205" s="200"/>
      <c r="X205" s="200"/>
      <c r="Y205" s="421"/>
      <c r="Z205" s="425"/>
      <c r="AA205" s="425"/>
      <c r="AB205" s="238"/>
      <c r="AC205" s="443"/>
      <c r="AD205" s="82"/>
      <c r="AE205" s="131"/>
      <c r="AF205" s="89"/>
      <c r="AG205" s="82"/>
      <c r="AH205" s="131"/>
      <c r="AI205" s="89"/>
      <c r="AJ205" s="82"/>
      <c r="AK205" s="131"/>
      <c r="AL205" s="89"/>
      <c r="AM205" s="200"/>
      <c r="AN205" s="200"/>
      <c r="AO205" s="204"/>
      <c r="AP205" s="82"/>
      <c r="AQ205" s="131"/>
      <c r="AR205" s="98"/>
      <c r="AS205" s="82"/>
      <c r="AT205" s="131"/>
      <c r="AU205" s="99"/>
      <c r="AV205" s="87"/>
      <c r="AW205" s="87"/>
      <c r="AX205" s="87"/>
      <c r="AY205" s="88"/>
      <c r="AZ205" s="88"/>
      <c r="BA205" s="204"/>
      <c r="BB205" s="82"/>
      <c r="BC205" s="82"/>
      <c r="BD205" s="100"/>
      <c r="BE205" s="82"/>
      <c r="BF205" s="82"/>
      <c r="BG205" s="100"/>
      <c r="BH205" s="82"/>
      <c r="BI205" s="131"/>
      <c r="BJ205" s="99"/>
      <c r="BK205" s="200"/>
      <c r="BL205" s="200"/>
      <c r="BM205" s="204"/>
      <c r="BN205" s="97"/>
      <c r="BO205" s="134"/>
      <c r="BP205" s="197">
        <f>+G205-AB205</f>
        <v>18000</v>
      </c>
    </row>
    <row r="206" spans="1:68" ht="13.5" thickBot="1">
      <c r="A206" s="102">
        <v>2</v>
      </c>
      <c r="B206" s="103">
        <v>6</v>
      </c>
      <c r="C206" s="103">
        <v>5</v>
      </c>
      <c r="D206" s="103">
        <v>7</v>
      </c>
      <c r="E206" s="202"/>
      <c r="F206" s="90" t="s">
        <v>260</v>
      </c>
      <c r="G206" s="82"/>
      <c r="H206" s="82"/>
      <c r="I206" s="131"/>
      <c r="J206" s="138"/>
      <c r="K206" s="203"/>
      <c r="L206" s="82"/>
      <c r="M206" s="89"/>
      <c r="N206" s="82"/>
      <c r="O206" s="82"/>
      <c r="P206" s="89"/>
      <c r="Q206" s="200"/>
      <c r="R206" s="200"/>
      <c r="S206" s="200"/>
      <c r="T206" s="200"/>
      <c r="U206" s="200"/>
      <c r="V206" s="200"/>
      <c r="W206" s="200"/>
      <c r="X206" s="200"/>
      <c r="Y206" s="421"/>
      <c r="Z206" s="425"/>
      <c r="AA206" s="425">
        <v>0</v>
      </c>
      <c r="AB206" s="238">
        <f>+AA206+Z206+Y206+X206+W206+V206+T206+T206+L206</f>
        <v>0</v>
      </c>
      <c r="AC206" s="443"/>
      <c r="AD206" s="82"/>
      <c r="AE206" s="131"/>
      <c r="AF206" s="89"/>
      <c r="AG206" s="82"/>
      <c r="AH206" s="131"/>
      <c r="AI206" s="89"/>
      <c r="AJ206" s="82"/>
      <c r="AK206" s="131"/>
      <c r="AL206" s="89"/>
      <c r="AM206" s="200"/>
      <c r="AN206" s="200"/>
      <c r="AO206" s="204"/>
      <c r="AP206" s="82"/>
      <c r="AQ206" s="131"/>
      <c r="AR206" s="98"/>
      <c r="AS206" s="82"/>
      <c r="AT206" s="131"/>
      <c r="AU206" s="99"/>
      <c r="AV206" s="87"/>
      <c r="AW206" s="87"/>
      <c r="AX206" s="87"/>
      <c r="AY206" s="88"/>
      <c r="AZ206" s="88"/>
      <c r="BA206" s="204"/>
      <c r="BB206" s="82"/>
      <c r="BC206" s="82"/>
      <c r="BD206" s="100"/>
      <c r="BE206" s="82"/>
      <c r="BF206" s="82"/>
      <c r="BG206" s="100"/>
      <c r="BH206" s="82"/>
      <c r="BI206" s="131"/>
      <c r="BJ206" s="99"/>
      <c r="BK206" s="200"/>
      <c r="BL206" s="200"/>
      <c r="BM206" s="204"/>
      <c r="BN206" s="97"/>
      <c r="BO206" s="134"/>
      <c r="BP206" s="197">
        <f>+G206-AB206</f>
        <v>0</v>
      </c>
    </row>
    <row r="207" spans="1:68" ht="13.5" thickBot="1">
      <c r="A207" s="102"/>
      <c r="B207" s="103"/>
      <c r="C207" s="103"/>
      <c r="D207" s="103"/>
      <c r="E207" s="202"/>
      <c r="F207" s="155"/>
      <c r="G207" s="82"/>
      <c r="H207" s="82"/>
      <c r="I207" s="131"/>
      <c r="J207" s="138"/>
      <c r="K207" s="203"/>
      <c r="L207" s="82"/>
      <c r="M207" s="89"/>
      <c r="N207" s="82"/>
      <c r="O207" s="82"/>
      <c r="P207" s="89"/>
      <c r="Q207" s="200"/>
      <c r="R207" s="200"/>
      <c r="S207" s="200"/>
      <c r="T207" s="200"/>
      <c r="U207" s="200"/>
      <c r="V207" s="200"/>
      <c r="W207" s="200"/>
      <c r="X207" s="200"/>
      <c r="Y207" s="421"/>
      <c r="Z207" s="425"/>
      <c r="AA207" s="425"/>
      <c r="AB207" s="238"/>
      <c r="AC207" s="443"/>
      <c r="AD207" s="82"/>
      <c r="AE207" s="131"/>
      <c r="AF207" s="89"/>
      <c r="AG207" s="82"/>
      <c r="AH207" s="131"/>
      <c r="AI207" s="89"/>
      <c r="AJ207" s="82"/>
      <c r="AK207" s="131"/>
      <c r="AL207" s="89"/>
      <c r="AM207" s="200"/>
      <c r="AN207" s="200"/>
      <c r="AO207" s="204"/>
      <c r="AP207" s="82"/>
      <c r="AQ207" s="131"/>
      <c r="AR207" s="98"/>
      <c r="AS207" s="82"/>
      <c r="AT207" s="131"/>
      <c r="AU207" s="99"/>
      <c r="AV207" s="87"/>
      <c r="AW207" s="87"/>
      <c r="AX207" s="87"/>
      <c r="AY207" s="88"/>
      <c r="AZ207" s="88"/>
      <c r="BA207" s="204"/>
      <c r="BB207" s="82"/>
      <c r="BC207" s="82"/>
      <c r="BD207" s="100"/>
      <c r="BE207" s="82"/>
      <c r="BF207" s="82"/>
      <c r="BG207" s="100"/>
      <c r="BH207" s="82"/>
      <c r="BI207" s="131"/>
      <c r="BJ207" s="99"/>
      <c r="BK207" s="200"/>
      <c r="BL207" s="200"/>
      <c r="BM207" s="204"/>
      <c r="BN207" s="97"/>
      <c r="BO207" s="134"/>
      <c r="BP207" s="197"/>
    </row>
    <row r="208" spans="1:68" ht="13.5" thickBot="1">
      <c r="A208" s="102">
        <v>2</v>
      </c>
      <c r="B208" s="103">
        <v>7</v>
      </c>
      <c r="C208" s="103"/>
      <c r="D208" s="103"/>
      <c r="E208" s="202"/>
      <c r="F208" s="155"/>
      <c r="G208" s="82">
        <f>+G209</f>
        <v>400000</v>
      </c>
      <c r="H208" s="82">
        <f aca="true" t="shared" si="167" ref="H208:T208">+H209</f>
        <v>0</v>
      </c>
      <c r="I208" s="82">
        <f t="shared" si="167"/>
        <v>0</v>
      </c>
      <c r="J208" s="82">
        <f t="shared" si="167"/>
        <v>0</v>
      </c>
      <c r="K208" s="82">
        <f t="shared" si="167"/>
        <v>0</v>
      </c>
      <c r="L208" s="82">
        <f t="shared" si="167"/>
        <v>0</v>
      </c>
      <c r="M208" s="82">
        <f t="shared" si="167"/>
        <v>0</v>
      </c>
      <c r="N208" s="82">
        <f t="shared" si="167"/>
        <v>0</v>
      </c>
      <c r="O208" s="82">
        <f t="shared" si="167"/>
        <v>0</v>
      </c>
      <c r="P208" s="82">
        <f t="shared" si="167"/>
        <v>0</v>
      </c>
      <c r="Q208" s="82">
        <f t="shared" si="167"/>
        <v>0</v>
      </c>
      <c r="R208" s="82">
        <f t="shared" si="167"/>
        <v>0</v>
      </c>
      <c r="S208" s="82">
        <f t="shared" si="167"/>
        <v>0</v>
      </c>
      <c r="T208" s="82">
        <f t="shared" si="167"/>
        <v>0</v>
      </c>
      <c r="U208" s="82">
        <f aca="true" t="shared" si="168" ref="U208:AB208">+U209</f>
        <v>0</v>
      </c>
      <c r="V208" s="82">
        <f t="shared" si="168"/>
        <v>0</v>
      </c>
      <c r="W208" s="82">
        <f t="shared" si="168"/>
        <v>97571.9</v>
      </c>
      <c r="X208" s="82">
        <f t="shared" si="168"/>
        <v>341501.66</v>
      </c>
      <c r="Y208" s="82">
        <f t="shared" si="168"/>
        <v>0</v>
      </c>
      <c r="Z208" s="82">
        <f t="shared" si="168"/>
        <v>0</v>
      </c>
      <c r="AA208" s="82">
        <f t="shared" si="168"/>
        <v>0</v>
      </c>
      <c r="AB208" s="82">
        <f t="shared" si="168"/>
        <v>439073.55999999994</v>
      </c>
      <c r="AC208" s="443"/>
      <c r="AD208" s="82"/>
      <c r="AE208" s="131"/>
      <c r="AF208" s="89"/>
      <c r="AG208" s="82"/>
      <c r="AH208" s="131"/>
      <c r="AI208" s="89"/>
      <c r="AJ208" s="82"/>
      <c r="AK208" s="131"/>
      <c r="AL208" s="89"/>
      <c r="AM208" s="200"/>
      <c r="AN208" s="200"/>
      <c r="AO208" s="204"/>
      <c r="AP208" s="82"/>
      <c r="AQ208" s="131"/>
      <c r="AR208" s="98"/>
      <c r="AS208" s="82"/>
      <c r="AT208" s="131"/>
      <c r="AU208" s="99"/>
      <c r="AV208" s="87"/>
      <c r="AW208" s="87"/>
      <c r="AX208" s="87"/>
      <c r="AY208" s="88"/>
      <c r="AZ208" s="88"/>
      <c r="BA208" s="204"/>
      <c r="BB208" s="82"/>
      <c r="BC208" s="82"/>
      <c r="BD208" s="100"/>
      <c r="BE208" s="82"/>
      <c r="BF208" s="82"/>
      <c r="BG208" s="100"/>
      <c r="BH208" s="82"/>
      <c r="BI208" s="131"/>
      <c r="BJ208" s="99"/>
      <c r="BK208" s="200"/>
      <c r="BL208" s="200"/>
      <c r="BM208" s="204"/>
      <c r="BN208" s="97"/>
      <c r="BO208" s="134"/>
      <c r="BP208" s="197">
        <f>+G208-AB208</f>
        <v>-39073.55999999994</v>
      </c>
    </row>
    <row r="209" spans="1:68" ht="13.5" thickBot="1">
      <c r="A209" s="102">
        <v>2</v>
      </c>
      <c r="B209" s="103">
        <v>7</v>
      </c>
      <c r="C209" s="103">
        <v>1</v>
      </c>
      <c r="D209" s="103">
        <v>2</v>
      </c>
      <c r="E209" s="202">
        <v>1</v>
      </c>
      <c r="F209" s="155"/>
      <c r="G209" s="88">
        <f>310000+90000</f>
        <v>400000</v>
      </c>
      <c r="H209" s="82"/>
      <c r="I209" s="131"/>
      <c r="J209" s="138"/>
      <c r="K209" s="203"/>
      <c r="L209" s="82"/>
      <c r="M209" s="115"/>
      <c r="N209" s="82"/>
      <c r="O209" s="82"/>
      <c r="P209" s="115"/>
      <c r="Q209" s="200"/>
      <c r="R209" s="200"/>
      <c r="S209" s="200"/>
      <c r="T209" s="200"/>
      <c r="U209" s="200"/>
      <c r="V209" s="200"/>
      <c r="W209" s="200">
        <v>97571.9</v>
      </c>
      <c r="X209" s="200">
        <v>341501.66</v>
      </c>
      <c r="Y209" s="421"/>
      <c r="Z209" s="433"/>
      <c r="AA209" s="433"/>
      <c r="AB209" s="238">
        <f>+W209+X209</f>
        <v>439073.55999999994</v>
      </c>
      <c r="AC209" s="443"/>
      <c r="AD209" s="82"/>
      <c r="AE209" s="131"/>
      <c r="AF209" s="89"/>
      <c r="AG209" s="82"/>
      <c r="AH209" s="131"/>
      <c r="AI209" s="89"/>
      <c r="AJ209" s="82"/>
      <c r="AK209" s="131"/>
      <c r="AL209" s="89"/>
      <c r="AM209" s="200"/>
      <c r="AN209" s="200"/>
      <c r="AO209" s="204"/>
      <c r="AP209" s="82"/>
      <c r="AQ209" s="131"/>
      <c r="AR209" s="98"/>
      <c r="AS209" s="82"/>
      <c r="AT209" s="131"/>
      <c r="AU209" s="99"/>
      <c r="AV209" s="87"/>
      <c r="AW209" s="87"/>
      <c r="AX209" s="87"/>
      <c r="AY209" s="88"/>
      <c r="AZ209" s="88"/>
      <c r="BA209" s="204"/>
      <c r="BB209" s="82"/>
      <c r="BC209" s="82"/>
      <c r="BD209" s="100"/>
      <c r="BE209" s="82"/>
      <c r="BF209" s="82"/>
      <c r="BG209" s="100"/>
      <c r="BH209" s="82"/>
      <c r="BI209" s="131"/>
      <c r="BJ209" s="99"/>
      <c r="BK209" s="200"/>
      <c r="BL209" s="200"/>
      <c r="BM209" s="204"/>
      <c r="BN209" s="97"/>
      <c r="BO209" s="134"/>
      <c r="BP209" s="197">
        <f>+G209-AB209</f>
        <v>-39073.55999999994</v>
      </c>
    </row>
    <row r="210" spans="1:68" ht="13.5" thickBot="1">
      <c r="A210" s="102"/>
      <c r="B210" s="103"/>
      <c r="C210" s="103"/>
      <c r="D210" s="103"/>
      <c r="E210" s="202"/>
      <c r="F210" s="155"/>
      <c r="G210" s="88"/>
      <c r="H210" s="82"/>
      <c r="I210" s="131"/>
      <c r="J210" s="138"/>
      <c r="K210" s="203"/>
      <c r="L210" s="82"/>
      <c r="M210" s="115"/>
      <c r="N210" s="82"/>
      <c r="O210" s="82"/>
      <c r="P210" s="115"/>
      <c r="Q210" s="200"/>
      <c r="R210" s="200"/>
      <c r="S210" s="200"/>
      <c r="T210" s="200"/>
      <c r="U210" s="200"/>
      <c r="V210" s="200"/>
      <c r="W210" s="200"/>
      <c r="X210" s="200"/>
      <c r="Y210" s="421"/>
      <c r="Z210" s="433"/>
      <c r="AA210" s="433"/>
      <c r="AB210" s="238"/>
      <c r="AC210" s="443"/>
      <c r="AD210" s="82"/>
      <c r="AE210" s="131"/>
      <c r="AF210" s="89"/>
      <c r="AG210" s="82"/>
      <c r="AH210" s="131"/>
      <c r="AI210" s="89"/>
      <c r="AJ210" s="82"/>
      <c r="AK210" s="131"/>
      <c r="AL210" s="89"/>
      <c r="AM210" s="200"/>
      <c r="AN210" s="200"/>
      <c r="AO210" s="204"/>
      <c r="AP210" s="82"/>
      <c r="AQ210" s="131"/>
      <c r="AR210" s="98"/>
      <c r="AS210" s="82"/>
      <c r="AT210" s="131"/>
      <c r="AU210" s="99"/>
      <c r="AV210" s="87"/>
      <c r="AW210" s="87"/>
      <c r="AX210" s="87"/>
      <c r="AY210" s="88"/>
      <c r="AZ210" s="88"/>
      <c r="BA210" s="204"/>
      <c r="BB210" s="82"/>
      <c r="BC210" s="82"/>
      <c r="BD210" s="100"/>
      <c r="BE210" s="82"/>
      <c r="BF210" s="82"/>
      <c r="BG210" s="100"/>
      <c r="BH210" s="82"/>
      <c r="BI210" s="131"/>
      <c r="BJ210" s="99"/>
      <c r="BK210" s="200"/>
      <c r="BL210" s="200"/>
      <c r="BM210" s="204"/>
      <c r="BN210" s="97"/>
      <c r="BO210" s="134"/>
      <c r="BP210" s="197"/>
    </row>
    <row r="211" spans="1:68" ht="13.5" thickBot="1">
      <c r="A211" s="102">
        <v>2</v>
      </c>
      <c r="B211" s="103">
        <v>6</v>
      </c>
      <c r="C211" s="103">
        <v>6</v>
      </c>
      <c r="D211" s="103"/>
      <c r="E211" s="202"/>
      <c r="F211" s="155" t="s">
        <v>248</v>
      </c>
      <c r="G211" s="82">
        <f>+G212</f>
        <v>0</v>
      </c>
      <c r="H211" s="82">
        <f aca="true" t="shared" si="169" ref="H211:U211">+H212</f>
        <v>7500</v>
      </c>
      <c r="I211" s="82">
        <f t="shared" si="169"/>
        <v>0</v>
      </c>
      <c r="J211" s="82">
        <f t="shared" si="169"/>
        <v>7500</v>
      </c>
      <c r="K211" s="82">
        <f t="shared" si="169"/>
        <v>0</v>
      </c>
      <c r="L211" s="82">
        <f t="shared" si="169"/>
        <v>0</v>
      </c>
      <c r="M211" s="82">
        <f t="shared" si="169"/>
        <v>7500</v>
      </c>
      <c r="N211" s="82">
        <f t="shared" si="169"/>
        <v>7500</v>
      </c>
      <c r="O211" s="82">
        <f t="shared" si="169"/>
        <v>0</v>
      </c>
      <c r="P211" s="82">
        <f t="shared" si="169"/>
        <v>7500</v>
      </c>
      <c r="Q211" s="82">
        <f t="shared" si="169"/>
        <v>7500</v>
      </c>
      <c r="R211" s="82">
        <f t="shared" si="169"/>
        <v>7500</v>
      </c>
      <c r="S211" s="82">
        <f t="shared" si="169"/>
        <v>0</v>
      </c>
      <c r="T211" s="82">
        <f t="shared" si="169"/>
        <v>0</v>
      </c>
      <c r="U211" s="82">
        <f t="shared" si="169"/>
        <v>0</v>
      </c>
      <c r="V211" s="82">
        <f aca="true" t="shared" si="170" ref="V211:AA211">+V212</f>
        <v>0</v>
      </c>
      <c r="W211" s="82">
        <f t="shared" si="170"/>
        <v>0</v>
      </c>
      <c r="X211" s="82">
        <f t="shared" si="170"/>
        <v>0</v>
      </c>
      <c r="Y211" s="82">
        <f t="shared" si="170"/>
        <v>0</v>
      </c>
      <c r="Z211" s="82">
        <f t="shared" si="170"/>
        <v>0</v>
      </c>
      <c r="AA211" s="82">
        <f t="shared" si="170"/>
        <v>0</v>
      </c>
      <c r="AB211" s="232">
        <f>+U211</f>
        <v>0</v>
      </c>
      <c r="AC211" s="443"/>
      <c r="AD211" s="82"/>
      <c r="AE211" s="131"/>
      <c r="AF211" s="89"/>
      <c r="AG211" s="82"/>
      <c r="AH211" s="131"/>
      <c r="AI211" s="89"/>
      <c r="AJ211" s="82"/>
      <c r="AK211" s="131"/>
      <c r="AL211" s="89"/>
      <c r="AM211" s="200"/>
      <c r="AN211" s="200"/>
      <c r="AO211" s="204"/>
      <c r="AP211" s="82"/>
      <c r="AQ211" s="131"/>
      <c r="AR211" s="98"/>
      <c r="AS211" s="82"/>
      <c r="AT211" s="131"/>
      <c r="AU211" s="99"/>
      <c r="AV211" s="87"/>
      <c r="AW211" s="87"/>
      <c r="AX211" s="87"/>
      <c r="AY211" s="88"/>
      <c r="AZ211" s="88"/>
      <c r="BA211" s="204"/>
      <c r="BB211" s="82"/>
      <c r="BC211" s="82"/>
      <c r="BD211" s="100"/>
      <c r="BE211" s="82"/>
      <c r="BF211" s="82"/>
      <c r="BG211" s="100"/>
      <c r="BH211" s="82"/>
      <c r="BI211" s="131"/>
      <c r="BJ211" s="99"/>
      <c r="BK211" s="200"/>
      <c r="BL211" s="200"/>
      <c r="BM211" s="204"/>
      <c r="BN211" s="97"/>
      <c r="BO211" s="134"/>
      <c r="BP211" s="197">
        <f>+G211-AB211</f>
        <v>0</v>
      </c>
    </row>
    <row r="212" spans="1:68" s="78" customFormat="1" ht="13.5" thickBot="1">
      <c r="A212" s="83">
        <v>2</v>
      </c>
      <c r="B212" s="84">
        <v>6</v>
      </c>
      <c r="C212" s="84">
        <v>6</v>
      </c>
      <c r="D212" s="84">
        <v>1</v>
      </c>
      <c r="E212" s="104">
        <v>1</v>
      </c>
      <c r="F212" s="90" t="s">
        <v>249</v>
      </c>
      <c r="G212" s="88">
        <v>0</v>
      </c>
      <c r="H212" s="88">
        <f aca="true" t="shared" si="171" ref="H212:R212">1000+6500</f>
        <v>7500</v>
      </c>
      <c r="I212" s="88">
        <v>0</v>
      </c>
      <c r="J212" s="88">
        <f t="shared" si="171"/>
        <v>7500</v>
      </c>
      <c r="K212" s="88">
        <v>0</v>
      </c>
      <c r="L212" s="88">
        <v>0</v>
      </c>
      <c r="M212" s="88">
        <f t="shared" si="171"/>
        <v>7500</v>
      </c>
      <c r="N212" s="88">
        <f t="shared" si="171"/>
        <v>7500</v>
      </c>
      <c r="O212" s="88">
        <v>0</v>
      </c>
      <c r="P212" s="88">
        <f t="shared" si="171"/>
        <v>7500</v>
      </c>
      <c r="Q212" s="88">
        <f t="shared" si="171"/>
        <v>7500</v>
      </c>
      <c r="R212" s="88">
        <f t="shared" si="171"/>
        <v>7500</v>
      </c>
      <c r="S212" s="88">
        <v>0</v>
      </c>
      <c r="T212" s="88">
        <v>0</v>
      </c>
      <c r="U212" s="88">
        <v>0</v>
      </c>
      <c r="V212" s="88">
        <v>0</v>
      </c>
      <c r="W212" s="88">
        <v>0</v>
      </c>
      <c r="X212" s="88">
        <v>0</v>
      </c>
      <c r="Y212" s="88">
        <v>0</v>
      </c>
      <c r="Z212" s="88">
        <v>0</v>
      </c>
      <c r="AA212" s="88">
        <v>0</v>
      </c>
      <c r="AB212" s="238">
        <f>+U212</f>
        <v>0</v>
      </c>
      <c r="AC212" s="443"/>
      <c r="AD212" s="88"/>
      <c r="AE212" s="97"/>
      <c r="AF212" s="89"/>
      <c r="AG212" s="88"/>
      <c r="AH212" s="97"/>
      <c r="AI212" s="89"/>
      <c r="AJ212" s="88"/>
      <c r="AK212" s="97"/>
      <c r="AL212" s="89"/>
      <c r="AM212" s="200"/>
      <c r="AN212" s="200"/>
      <c r="AO212" s="204"/>
      <c r="AP212" s="88"/>
      <c r="AQ212" s="97"/>
      <c r="AR212" s="98"/>
      <c r="AS212" s="88"/>
      <c r="AT212" s="97"/>
      <c r="AU212" s="99"/>
      <c r="AV212" s="86"/>
      <c r="AW212" s="86"/>
      <c r="AX212" s="87"/>
      <c r="AY212" s="88"/>
      <c r="AZ212" s="88"/>
      <c r="BA212" s="204"/>
      <c r="BB212" s="88"/>
      <c r="BC212" s="88"/>
      <c r="BD212" s="100"/>
      <c r="BE212" s="88"/>
      <c r="BF212" s="88"/>
      <c r="BG212" s="100"/>
      <c r="BH212" s="88"/>
      <c r="BI212" s="97"/>
      <c r="BJ212" s="99"/>
      <c r="BK212" s="200"/>
      <c r="BL212" s="200"/>
      <c r="BM212" s="204"/>
      <c r="BN212" s="97"/>
      <c r="BO212" s="134"/>
      <c r="BP212" s="197">
        <f t="shared" si="123"/>
        <v>0</v>
      </c>
    </row>
    <row r="213" spans="1:68" s="78" customFormat="1" ht="9.75" customHeight="1" thickBot="1">
      <c r="A213" s="83"/>
      <c r="B213" s="84"/>
      <c r="C213" s="84"/>
      <c r="D213" s="84"/>
      <c r="E213" s="104"/>
      <c r="F213" s="90"/>
      <c r="G213" s="88"/>
      <c r="H213" s="88"/>
      <c r="I213" s="97"/>
      <c r="J213" s="138"/>
      <c r="K213" s="148"/>
      <c r="L213" s="88"/>
      <c r="M213" s="89"/>
      <c r="N213" s="88"/>
      <c r="O213" s="88"/>
      <c r="P213" s="115"/>
      <c r="Q213" s="200"/>
      <c r="R213" s="200"/>
      <c r="S213" s="200"/>
      <c r="T213" s="200"/>
      <c r="U213" s="200"/>
      <c r="V213" s="200"/>
      <c r="W213" s="200"/>
      <c r="X213" s="200"/>
      <c r="Y213" s="421"/>
      <c r="Z213" s="425"/>
      <c r="AA213" s="425"/>
      <c r="AB213" s="238"/>
      <c r="AC213" s="443"/>
      <c r="AD213" s="88"/>
      <c r="AE213" s="97"/>
      <c r="AF213" s="89"/>
      <c r="AG213" s="88"/>
      <c r="AH213" s="97"/>
      <c r="AI213" s="89"/>
      <c r="AJ213" s="88"/>
      <c r="AK213" s="97"/>
      <c r="AL213" s="89"/>
      <c r="AM213" s="205"/>
      <c r="AN213" s="200"/>
      <c r="AO213" s="204"/>
      <c r="AP213" s="88"/>
      <c r="AQ213" s="97"/>
      <c r="AR213" s="98"/>
      <c r="AS213" s="88"/>
      <c r="AT213" s="97"/>
      <c r="AU213" s="99"/>
      <c r="AV213" s="86"/>
      <c r="AW213" s="86"/>
      <c r="AX213" s="87"/>
      <c r="AY213" s="148"/>
      <c r="AZ213" s="88"/>
      <c r="BA213" s="204"/>
      <c r="BB213" s="88"/>
      <c r="BC213" s="88"/>
      <c r="BD213" s="100"/>
      <c r="BE213" s="88"/>
      <c r="BF213" s="88"/>
      <c r="BG213" s="100"/>
      <c r="BH213" s="88"/>
      <c r="BI213" s="97"/>
      <c r="BJ213" s="99"/>
      <c r="BK213" s="205"/>
      <c r="BL213" s="200"/>
      <c r="BM213" s="204"/>
      <c r="BN213" s="97"/>
      <c r="BO213" s="134"/>
      <c r="BP213" s="197"/>
    </row>
    <row r="214" spans="1:68" s="76" customFormat="1" ht="13.5" thickBot="1">
      <c r="A214" s="102">
        <v>2</v>
      </c>
      <c r="B214" s="103">
        <v>6</v>
      </c>
      <c r="C214" s="103">
        <v>8</v>
      </c>
      <c r="D214" s="84"/>
      <c r="E214" s="104"/>
      <c r="F214" s="155" t="s">
        <v>232</v>
      </c>
      <c r="G214" s="82">
        <f>+G215+G216+G219+G220</f>
        <v>0</v>
      </c>
      <c r="H214" s="82">
        <f>+H215+H216+H219+H220</f>
        <v>0</v>
      </c>
      <c r="I214" s="131">
        <f>+I215+I216+I219+I220</f>
        <v>0</v>
      </c>
      <c r="J214" s="138" t="e">
        <f t="shared" si="133"/>
        <v>#DIV/0!</v>
      </c>
      <c r="K214" s="203">
        <f>+K215+K216+K219+K220</f>
        <v>0</v>
      </c>
      <c r="L214" s="82">
        <f>+L215+L216+L219+L220</f>
        <v>0</v>
      </c>
      <c r="M214" s="89" t="e">
        <f t="shared" si="134"/>
        <v>#DIV/0!</v>
      </c>
      <c r="N214" s="82">
        <f>+N215+N216+N219+N220</f>
        <v>0</v>
      </c>
      <c r="O214" s="82">
        <v>0</v>
      </c>
      <c r="P214" s="82" t="e">
        <f>+P215+P216+P219+P220</f>
        <v>#DIV/0!</v>
      </c>
      <c r="Q214" s="82">
        <f>+Q215+Q216+Q219+Q220</f>
        <v>0</v>
      </c>
      <c r="R214" s="82">
        <f>+R215+R216+R219+R220</f>
        <v>0</v>
      </c>
      <c r="S214" s="82">
        <f>+S215+S216+S219+S220</f>
        <v>0</v>
      </c>
      <c r="T214" s="82"/>
      <c r="U214" s="82"/>
      <c r="V214" s="82"/>
      <c r="W214" s="82"/>
      <c r="X214" s="82"/>
      <c r="Y214" s="131"/>
      <c r="Z214" s="426"/>
      <c r="AA214" s="426"/>
      <c r="AB214" s="238">
        <f>AB215+AB216+AB219+AB220</f>
        <v>0</v>
      </c>
      <c r="AC214" s="443" t="e">
        <f t="shared" si="155"/>
        <v>#DIV/0!</v>
      </c>
      <c r="AD214" s="82">
        <f>+AD215+AD216+AD219+AD220</f>
        <v>0</v>
      </c>
      <c r="AE214" s="131">
        <f>+AE215+AE216+AE219+AE220</f>
        <v>0</v>
      </c>
      <c r="AF214" s="89" t="e">
        <f t="shared" si="136"/>
        <v>#DIV/0!</v>
      </c>
      <c r="AG214" s="82">
        <f>+AG215+AG216+AG219+AG220</f>
        <v>0</v>
      </c>
      <c r="AH214" s="131">
        <f>+AH215+AH216+AH219+AH220</f>
        <v>0</v>
      </c>
      <c r="AI214" s="89" t="e">
        <f t="shared" si="137"/>
        <v>#DIV/0!</v>
      </c>
      <c r="AJ214" s="82">
        <f>+AJ215+AJ216+AJ219+AJ220</f>
        <v>0</v>
      </c>
      <c r="AK214" s="131">
        <f>+AK215+AK216+AK219+AK220</f>
        <v>0</v>
      </c>
      <c r="AL214" s="89" t="e">
        <f t="shared" si="138"/>
        <v>#DIV/0!</v>
      </c>
      <c r="AM214" s="203">
        <f>+AM215+AM216+AM219+AM220</f>
        <v>0</v>
      </c>
      <c r="AN214" s="82">
        <f>+AN215+AN216+AN219+AN220</f>
        <v>0</v>
      </c>
      <c r="AO214" s="204" t="e">
        <f aca="true" t="shared" si="172" ref="AO214:AO221">AN214/AM214</f>
        <v>#DIV/0!</v>
      </c>
      <c r="AP214" s="82">
        <f>+AP215+AP216+AP219+AP220</f>
        <v>0</v>
      </c>
      <c r="AQ214" s="131">
        <f>+AQ215+AQ216+AQ219+AQ220</f>
        <v>0</v>
      </c>
      <c r="AR214" s="98" t="e">
        <f t="shared" si="139"/>
        <v>#DIV/0!</v>
      </c>
      <c r="AS214" s="82">
        <f>+AS215+AS216+AS219+AS220</f>
        <v>0</v>
      </c>
      <c r="AT214" s="131">
        <f>+AT215+AT216+AT219+AT220</f>
        <v>0</v>
      </c>
      <c r="AU214" s="99" t="e">
        <f t="shared" si="140"/>
        <v>#DIV/0!</v>
      </c>
      <c r="AV214" s="82">
        <f>+AV215+AV216+AV219+AV220</f>
        <v>0</v>
      </c>
      <c r="AW214" s="82">
        <f>+AW215+AW216+AW219+AW220</f>
        <v>0</v>
      </c>
      <c r="AX214" s="87" t="e">
        <f aca="true" t="shared" si="173" ref="AX214:AX221">AW214/AV214</f>
        <v>#DIV/0!</v>
      </c>
      <c r="AY214" s="203">
        <f>+AY215+AY216+AY219+AY220</f>
        <v>0</v>
      </c>
      <c r="AZ214" s="82">
        <f>+AZ215+AZ216+AZ219+AZ220</f>
        <v>0</v>
      </c>
      <c r="BA214" s="204" t="e">
        <f aca="true" t="shared" si="174" ref="BA214:BA221">AZ214/AY214</f>
        <v>#DIV/0!</v>
      </c>
      <c r="BB214" s="82"/>
      <c r="BC214" s="82"/>
      <c r="BD214" s="100" t="e">
        <f t="shared" si="142"/>
        <v>#DIV/0!</v>
      </c>
      <c r="BE214" s="82"/>
      <c r="BF214" s="82"/>
      <c r="BG214" s="100" t="e">
        <f t="shared" si="143"/>
        <v>#DIV/0!</v>
      </c>
      <c r="BH214" s="82">
        <f>+BH215+BH216+BH219+BH220</f>
        <v>0</v>
      </c>
      <c r="BI214" s="131">
        <f>+BI215+BI216+BI219+BI220</f>
        <v>0</v>
      </c>
      <c r="BJ214" s="99" t="e">
        <f t="shared" si="144"/>
        <v>#DIV/0!</v>
      </c>
      <c r="BK214" s="203">
        <f>+BK215+BK216+BK219+BK220</f>
        <v>0</v>
      </c>
      <c r="BL214" s="82">
        <f>+BL215+BL216+BL219+BL220</f>
        <v>0</v>
      </c>
      <c r="BM214" s="204" t="e">
        <f aca="true" t="shared" si="175" ref="BM214:BM221">BL214/BK214</f>
        <v>#DIV/0!</v>
      </c>
      <c r="BN214" s="131">
        <f>+BN215+BN216+BN219+BN220</f>
        <v>0</v>
      </c>
      <c r="BO214" s="134" t="e">
        <f t="shared" si="145"/>
        <v>#DIV/0!</v>
      </c>
      <c r="BP214" s="197">
        <f t="shared" si="123"/>
        <v>0</v>
      </c>
    </row>
    <row r="215" spans="1:68" ht="13.5" thickBot="1">
      <c r="A215" s="102">
        <v>2</v>
      </c>
      <c r="B215" s="103">
        <v>6</v>
      </c>
      <c r="C215" s="103">
        <v>8</v>
      </c>
      <c r="D215" s="103">
        <v>1</v>
      </c>
      <c r="E215" s="202"/>
      <c r="F215" s="155" t="s">
        <v>112</v>
      </c>
      <c r="G215" s="82">
        <v>0</v>
      </c>
      <c r="H215" s="82"/>
      <c r="I215" s="131"/>
      <c r="J215" s="138" t="e">
        <f t="shared" si="133"/>
        <v>#DIV/0!</v>
      </c>
      <c r="K215" s="203"/>
      <c r="L215" s="82"/>
      <c r="M215" s="89" t="e">
        <f t="shared" si="134"/>
        <v>#DIV/0!</v>
      </c>
      <c r="N215" s="82"/>
      <c r="O215" s="82"/>
      <c r="P215" s="89" t="e">
        <f t="shared" si="135"/>
        <v>#DIV/0!</v>
      </c>
      <c r="Q215" s="200">
        <f>N215+K215+H215</f>
        <v>0</v>
      </c>
      <c r="R215" s="200"/>
      <c r="S215" s="200"/>
      <c r="T215" s="200"/>
      <c r="U215" s="200"/>
      <c r="V215" s="200"/>
      <c r="W215" s="200"/>
      <c r="X215" s="200"/>
      <c r="Y215" s="421"/>
      <c r="Z215" s="425"/>
      <c r="AA215" s="425"/>
      <c r="AB215" s="238">
        <f>+I215+L215+O215+S215+T215+U215+V215+W215+X215+Y215+Z215+AA215</f>
        <v>0</v>
      </c>
      <c r="AC215" s="443" t="e">
        <f t="shared" si="155"/>
        <v>#DIV/0!</v>
      </c>
      <c r="AD215" s="82"/>
      <c r="AE215" s="131"/>
      <c r="AF215" s="89" t="e">
        <f t="shared" si="136"/>
        <v>#DIV/0!</v>
      </c>
      <c r="AG215" s="82"/>
      <c r="AH215" s="131"/>
      <c r="AI215" s="89" t="e">
        <f t="shared" si="137"/>
        <v>#DIV/0!</v>
      </c>
      <c r="AJ215" s="82"/>
      <c r="AK215" s="131"/>
      <c r="AL215" s="89" t="e">
        <f t="shared" si="138"/>
        <v>#DIV/0!</v>
      </c>
      <c r="AM215" s="200">
        <f>AJ215+AG215+AD215</f>
        <v>0</v>
      </c>
      <c r="AN215" s="200">
        <f>AK215+AH215+AE215</f>
        <v>0</v>
      </c>
      <c r="AO215" s="204" t="e">
        <f t="shared" si="172"/>
        <v>#DIV/0!</v>
      </c>
      <c r="AP215" s="82"/>
      <c r="AQ215" s="131"/>
      <c r="AR215" s="98" t="e">
        <f t="shared" si="139"/>
        <v>#DIV/0!</v>
      </c>
      <c r="AS215" s="82"/>
      <c r="AT215" s="131"/>
      <c r="AU215" s="99" t="e">
        <f t="shared" si="140"/>
        <v>#DIV/0!</v>
      </c>
      <c r="AV215" s="87"/>
      <c r="AW215" s="87"/>
      <c r="AX215" s="87" t="e">
        <f t="shared" si="173"/>
        <v>#DIV/0!</v>
      </c>
      <c r="AY215" s="88">
        <f>AV215+AS215+AP215</f>
        <v>0</v>
      </c>
      <c r="AZ215" s="88">
        <f>AW215+AT215+AQ215</f>
        <v>0</v>
      </c>
      <c r="BA215" s="204" t="e">
        <f t="shared" si="174"/>
        <v>#DIV/0!</v>
      </c>
      <c r="BB215" s="82"/>
      <c r="BC215" s="82"/>
      <c r="BD215" s="100" t="e">
        <f t="shared" si="142"/>
        <v>#DIV/0!</v>
      </c>
      <c r="BE215" s="82"/>
      <c r="BF215" s="82"/>
      <c r="BG215" s="100" t="e">
        <f t="shared" si="143"/>
        <v>#DIV/0!</v>
      </c>
      <c r="BH215" s="82"/>
      <c r="BI215" s="131"/>
      <c r="BJ215" s="99" t="e">
        <f t="shared" si="144"/>
        <v>#DIV/0!</v>
      </c>
      <c r="BK215" s="200">
        <f>BH215+BE215+BB215</f>
        <v>0</v>
      </c>
      <c r="BL215" s="200">
        <f>BI215+BF215+BC215</f>
        <v>0</v>
      </c>
      <c r="BM215" s="204" t="e">
        <f t="shared" si="175"/>
        <v>#DIV/0!</v>
      </c>
      <c r="BN215" s="97">
        <f>I215+L215+O215+AE215+AH215+AK215+AQ215+AT215+AW215+BC215+BF215+BI215</f>
        <v>0</v>
      </c>
      <c r="BO215" s="134" t="e">
        <f t="shared" si="145"/>
        <v>#DIV/0!</v>
      </c>
      <c r="BP215" s="197">
        <f t="shared" si="123"/>
        <v>0</v>
      </c>
    </row>
    <row r="216" spans="1:68" ht="19.5" customHeight="1" thickBot="1">
      <c r="A216" s="102">
        <v>2</v>
      </c>
      <c r="B216" s="103">
        <v>6</v>
      </c>
      <c r="C216" s="103">
        <v>8</v>
      </c>
      <c r="D216" s="103">
        <v>3</v>
      </c>
      <c r="E216" s="202"/>
      <c r="F216" s="155" t="s">
        <v>117</v>
      </c>
      <c r="G216" s="82">
        <f>G217+G218</f>
        <v>0</v>
      </c>
      <c r="H216" s="82">
        <f>H217+H218</f>
        <v>0</v>
      </c>
      <c r="I216" s="131">
        <f>I217+I218</f>
        <v>0</v>
      </c>
      <c r="J216" s="138" t="e">
        <f t="shared" si="133"/>
        <v>#DIV/0!</v>
      </c>
      <c r="K216" s="203">
        <f>K217+K218</f>
        <v>0</v>
      </c>
      <c r="L216" s="82">
        <f>L217+L218</f>
        <v>0</v>
      </c>
      <c r="M216" s="89" t="e">
        <f t="shared" si="134"/>
        <v>#DIV/0!</v>
      </c>
      <c r="N216" s="82">
        <f>N217+N218</f>
        <v>0</v>
      </c>
      <c r="O216" s="82">
        <f>O217+O218</f>
        <v>0</v>
      </c>
      <c r="P216" s="89" t="e">
        <f t="shared" si="135"/>
        <v>#DIV/0!</v>
      </c>
      <c r="Q216" s="82">
        <f>Q217+Q218</f>
        <v>0</v>
      </c>
      <c r="R216" s="82"/>
      <c r="S216" s="82"/>
      <c r="T216" s="82"/>
      <c r="U216" s="82"/>
      <c r="V216" s="82"/>
      <c r="W216" s="82"/>
      <c r="X216" s="82"/>
      <c r="Y216" s="131"/>
      <c r="Z216" s="426"/>
      <c r="AA216" s="426"/>
      <c r="AB216" s="238">
        <f>AB217+AB218</f>
        <v>0</v>
      </c>
      <c r="AC216" s="443" t="e">
        <f t="shared" si="155"/>
        <v>#DIV/0!</v>
      </c>
      <c r="AD216" s="82">
        <f>AD217+AD218</f>
        <v>0</v>
      </c>
      <c r="AE216" s="131">
        <f>AE217+AE218</f>
        <v>0</v>
      </c>
      <c r="AF216" s="89" t="e">
        <f t="shared" si="136"/>
        <v>#DIV/0!</v>
      </c>
      <c r="AG216" s="82">
        <f>AG217+AG218</f>
        <v>0</v>
      </c>
      <c r="AH216" s="131">
        <f>AH217+AH218</f>
        <v>0</v>
      </c>
      <c r="AI216" s="89" t="e">
        <f t="shared" si="137"/>
        <v>#DIV/0!</v>
      </c>
      <c r="AJ216" s="82">
        <f>AJ217+AJ218</f>
        <v>0</v>
      </c>
      <c r="AK216" s="131">
        <f>AK217+AK218</f>
        <v>0</v>
      </c>
      <c r="AL216" s="89" t="e">
        <f t="shared" si="138"/>
        <v>#DIV/0!</v>
      </c>
      <c r="AM216" s="82">
        <f>AM217+AM218</f>
        <v>0</v>
      </c>
      <c r="AN216" s="82">
        <f>AN217+AN218</f>
        <v>0</v>
      </c>
      <c r="AO216" s="204" t="e">
        <f t="shared" si="172"/>
        <v>#DIV/0!</v>
      </c>
      <c r="AP216" s="82">
        <f>AP217+AP218</f>
        <v>0</v>
      </c>
      <c r="AQ216" s="131">
        <f>AQ217+AQ218</f>
        <v>0</v>
      </c>
      <c r="AR216" s="98" t="e">
        <f t="shared" si="139"/>
        <v>#DIV/0!</v>
      </c>
      <c r="AS216" s="82">
        <f>AS217+AS218</f>
        <v>0</v>
      </c>
      <c r="AT216" s="131">
        <f>AT217+AT218</f>
        <v>0</v>
      </c>
      <c r="AU216" s="99" t="e">
        <f t="shared" si="140"/>
        <v>#DIV/0!</v>
      </c>
      <c r="AV216" s="82">
        <f>AV217+AV218</f>
        <v>0</v>
      </c>
      <c r="AW216" s="82">
        <f>AW217+AW218</f>
        <v>0</v>
      </c>
      <c r="AX216" s="87" t="e">
        <f t="shared" si="173"/>
        <v>#DIV/0!</v>
      </c>
      <c r="AY216" s="82">
        <f>AY217+AY218</f>
        <v>0</v>
      </c>
      <c r="AZ216" s="82">
        <f>AZ217+AZ218</f>
        <v>0</v>
      </c>
      <c r="BA216" s="204" t="e">
        <f t="shared" si="174"/>
        <v>#DIV/0!</v>
      </c>
      <c r="BB216" s="82"/>
      <c r="BC216" s="82"/>
      <c r="BD216" s="100" t="e">
        <f t="shared" si="142"/>
        <v>#DIV/0!</v>
      </c>
      <c r="BE216" s="82"/>
      <c r="BF216" s="82"/>
      <c r="BG216" s="100" t="e">
        <f t="shared" si="143"/>
        <v>#DIV/0!</v>
      </c>
      <c r="BH216" s="82">
        <f>BH217+BH218</f>
        <v>0</v>
      </c>
      <c r="BI216" s="131">
        <f>BI217+BI218</f>
        <v>0</v>
      </c>
      <c r="BJ216" s="99" t="e">
        <f t="shared" si="144"/>
        <v>#DIV/0!</v>
      </c>
      <c r="BK216" s="82">
        <f>BK217+BK218</f>
        <v>0</v>
      </c>
      <c r="BL216" s="82">
        <f>BL217+BL218</f>
        <v>0</v>
      </c>
      <c r="BM216" s="204" t="e">
        <f t="shared" si="175"/>
        <v>#DIV/0!</v>
      </c>
      <c r="BN216" s="97">
        <f>I216+L216+O216+AE216+AH216+AK216+AQ216+AT216+AW216+BC216+BF216+BI216</f>
        <v>0</v>
      </c>
      <c r="BO216" s="134" t="e">
        <f t="shared" si="145"/>
        <v>#DIV/0!</v>
      </c>
      <c r="BP216" s="197">
        <f t="shared" si="123"/>
        <v>0</v>
      </c>
    </row>
    <row r="217" spans="1:68" s="78" customFormat="1" ht="13.5" thickBot="1">
      <c r="A217" s="83">
        <v>2</v>
      </c>
      <c r="B217" s="84">
        <v>6</v>
      </c>
      <c r="C217" s="84">
        <v>8</v>
      </c>
      <c r="D217" s="84">
        <v>3</v>
      </c>
      <c r="E217" s="85" t="s">
        <v>149</v>
      </c>
      <c r="F217" s="90" t="s">
        <v>116</v>
      </c>
      <c r="G217" s="88">
        <v>0</v>
      </c>
      <c r="H217" s="88"/>
      <c r="I217" s="97"/>
      <c r="J217" s="138" t="e">
        <f t="shared" si="133"/>
        <v>#DIV/0!</v>
      </c>
      <c r="K217" s="148"/>
      <c r="L217" s="88"/>
      <c r="M217" s="89" t="e">
        <f t="shared" si="134"/>
        <v>#DIV/0!</v>
      </c>
      <c r="N217" s="88"/>
      <c r="O217" s="88"/>
      <c r="P217" s="89" t="e">
        <f t="shared" si="135"/>
        <v>#DIV/0!</v>
      </c>
      <c r="Q217" s="200">
        <f>N217+K217+H217</f>
        <v>0</v>
      </c>
      <c r="R217" s="200"/>
      <c r="S217" s="200"/>
      <c r="T217" s="200"/>
      <c r="U217" s="200"/>
      <c r="V217" s="200"/>
      <c r="W217" s="200"/>
      <c r="X217" s="200"/>
      <c r="Y217" s="421"/>
      <c r="Z217" s="425"/>
      <c r="AA217" s="425"/>
      <c r="AB217" s="238">
        <f>+I217+L217+O217+S217+T217+U217+V217+W217+X217+Y217+Z217+AA217</f>
        <v>0</v>
      </c>
      <c r="AC217" s="443" t="e">
        <f t="shared" si="155"/>
        <v>#DIV/0!</v>
      </c>
      <c r="AD217" s="88"/>
      <c r="AE217" s="97"/>
      <c r="AF217" s="89" t="e">
        <f t="shared" si="136"/>
        <v>#DIV/0!</v>
      </c>
      <c r="AG217" s="88"/>
      <c r="AH217" s="97"/>
      <c r="AI217" s="89" t="e">
        <f t="shared" si="137"/>
        <v>#DIV/0!</v>
      </c>
      <c r="AJ217" s="88"/>
      <c r="AK217" s="97"/>
      <c r="AL217" s="89" t="e">
        <f t="shared" si="138"/>
        <v>#DIV/0!</v>
      </c>
      <c r="AM217" s="200">
        <f aca="true" t="shared" si="176" ref="AM217:AN219">AJ217+AG217+AD217</f>
        <v>0</v>
      </c>
      <c r="AN217" s="200">
        <f t="shared" si="176"/>
        <v>0</v>
      </c>
      <c r="AO217" s="204" t="e">
        <f t="shared" si="172"/>
        <v>#DIV/0!</v>
      </c>
      <c r="AP217" s="88"/>
      <c r="AQ217" s="97"/>
      <c r="AR217" s="98" t="e">
        <f t="shared" si="139"/>
        <v>#DIV/0!</v>
      </c>
      <c r="AS217" s="88"/>
      <c r="AT217" s="97"/>
      <c r="AU217" s="99" t="e">
        <f t="shared" si="140"/>
        <v>#DIV/0!</v>
      </c>
      <c r="AV217" s="86"/>
      <c r="AW217" s="86"/>
      <c r="AX217" s="87" t="e">
        <f t="shared" si="173"/>
        <v>#DIV/0!</v>
      </c>
      <c r="AY217" s="88">
        <f aca="true" t="shared" si="177" ref="AY217:AZ219">AV217+AS217+AP217</f>
        <v>0</v>
      </c>
      <c r="AZ217" s="88">
        <f t="shared" si="177"/>
        <v>0</v>
      </c>
      <c r="BA217" s="204" t="e">
        <f t="shared" si="174"/>
        <v>#DIV/0!</v>
      </c>
      <c r="BB217" s="88"/>
      <c r="BC217" s="88"/>
      <c r="BD217" s="100" t="e">
        <f t="shared" si="142"/>
        <v>#DIV/0!</v>
      </c>
      <c r="BE217" s="88"/>
      <c r="BF217" s="88"/>
      <c r="BG217" s="100" t="e">
        <f t="shared" si="143"/>
        <v>#DIV/0!</v>
      </c>
      <c r="BH217" s="88"/>
      <c r="BI217" s="97"/>
      <c r="BJ217" s="99" t="e">
        <f t="shared" si="144"/>
        <v>#DIV/0!</v>
      </c>
      <c r="BK217" s="200">
        <f aca="true" t="shared" si="178" ref="BK217:BL219">BH217+BE217+BB217</f>
        <v>0</v>
      </c>
      <c r="BL217" s="200">
        <f t="shared" si="178"/>
        <v>0</v>
      </c>
      <c r="BM217" s="204" t="e">
        <f t="shared" si="175"/>
        <v>#DIV/0!</v>
      </c>
      <c r="BN217" s="97"/>
      <c r="BO217" s="134" t="e">
        <f t="shared" si="145"/>
        <v>#DIV/0!</v>
      </c>
      <c r="BP217" s="197">
        <f t="shared" si="123"/>
        <v>0</v>
      </c>
    </row>
    <row r="218" spans="1:68" s="78" customFormat="1" ht="13.5" thickBot="1">
      <c r="A218" s="83">
        <v>2</v>
      </c>
      <c r="B218" s="84">
        <v>6</v>
      </c>
      <c r="C218" s="84">
        <v>8</v>
      </c>
      <c r="D218" s="84">
        <v>3</v>
      </c>
      <c r="E218" s="85" t="s">
        <v>150</v>
      </c>
      <c r="F218" s="90" t="s">
        <v>70</v>
      </c>
      <c r="G218" s="88">
        <v>0</v>
      </c>
      <c r="H218" s="88"/>
      <c r="I218" s="97"/>
      <c r="J218" s="138" t="e">
        <f t="shared" si="133"/>
        <v>#DIV/0!</v>
      </c>
      <c r="K218" s="148"/>
      <c r="L218" s="88"/>
      <c r="M218" s="89" t="e">
        <f t="shared" si="134"/>
        <v>#DIV/0!</v>
      </c>
      <c r="N218" s="88"/>
      <c r="O218" s="88"/>
      <c r="P218" s="89" t="e">
        <f t="shared" si="135"/>
        <v>#DIV/0!</v>
      </c>
      <c r="Q218" s="200">
        <f>N218+K218+H218</f>
        <v>0</v>
      </c>
      <c r="R218" s="200"/>
      <c r="S218" s="200"/>
      <c r="T218" s="200"/>
      <c r="U218" s="200"/>
      <c r="V218" s="200"/>
      <c r="W218" s="200"/>
      <c r="X218" s="200"/>
      <c r="Y218" s="421"/>
      <c r="Z218" s="425"/>
      <c r="AA218" s="425"/>
      <c r="AB218" s="238">
        <f>+I218+L218+O218+S218+T218+U218+V218+W218+X218+Y218+Z218+AA218</f>
        <v>0</v>
      </c>
      <c r="AC218" s="443" t="e">
        <f t="shared" si="155"/>
        <v>#DIV/0!</v>
      </c>
      <c r="AD218" s="88"/>
      <c r="AE218" s="97"/>
      <c r="AF218" s="89" t="e">
        <f t="shared" si="136"/>
        <v>#DIV/0!</v>
      </c>
      <c r="AG218" s="88"/>
      <c r="AH218" s="97"/>
      <c r="AI218" s="89" t="e">
        <f t="shared" si="137"/>
        <v>#DIV/0!</v>
      </c>
      <c r="AJ218" s="88"/>
      <c r="AK218" s="97"/>
      <c r="AL218" s="89" t="e">
        <f t="shared" si="138"/>
        <v>#DIV/0!</v>
      </c>
      <c r="AM218" s="200">
        <f t="shared" si="176"/>
        <v>0</v>
      </c>
      <c r="AN218" s="200">
        <f t="shared" si="176"/>
        <v>0</v>
      </c>
      <c r="AO218" s="204" t="e">
        <f t="shared" si="172"/>
        <v>#DIV/0!</v>
      </c>
      <c r="AP218" s="88"/>
      <c r="AQ218" s="97"/>
      <c r="AR218" s="98" t="e">
        <f t="shared" si="139"/>
        <v>#DIV/0!</v>
      </c>
      <c r="AS218" s="88"/>
      <c r="AT218" s="97"/>
      <c r="AU218" s="99" t="e">
        <f t="shared" si="140"/>
        <v>#DIV/0!</v>
      </c>
      <c r="AV218" s="86"/>
      <c r="AW218" s="86"/>
      <c r="AX218" s="87" t="e">
        <f t="shared" si="173"/>
        <v>#DIV/0!</v>
      </c>
      <c r="AY218" s="88">
        <f t="shared" si="177"/>
        <v>0</v>
      </c>
      <c r="AZ218" s="88">
        <f t="shared" si="177"/>
        <v>0</v>
      </c>
      <c r="BA218" s="204" t="e">
        <f t="shared" si="174"/>
        <v>#DIV/0!</v>
      </c>
      <c r="BB218" s="88"/>
      <c r="BC218" s="88"/>
      <c r="BD218" s="100" t="e">
        <f t="shared" si="142"/>
        <v>#DIV/0!</v>
      </c>
      <c r="BE218" s="88"/>
      <c r="BF218" s="88"/>
      <c r="BG218" s="100" t="e">
        <f t="shared" si="143"/>
        <v>#DIV/0!</v>
      </c>
      <c r="BH218" s="88"/>
      <c r="BI218" s="97"/>
      <c r="BJ218" s="99" t="e">
        <f t="shared" si="144"/>
        <v>#DIV/0!</v>
      </c>
      <c r="BK218" s="200">
        <f t="shared" si="178"/>
        <v>0</v>
      </c>
      <c r="BL218" s="200">
        <f t="shared" si="178"/>
        <v>0</v>
      </c>
      <c r="BM218" s="204" t="e">
        <f t="shared" si="175"/>
        <v>#DIV/0!</v>
      </c>
      <c r="BN218" s="97"/>
      <c r="BO218" s="134" t="e">
        <f t="shared" si="145"/>
        <v>#DIV/0!</v>
      </c>
      <c r="BP218" s="197">
        <f t="shared" si="123"/>
        <v>0</v>
      </c>
    </row>
    <row r="219" spans="1:68" ht="13.5" thickBot="1">
      <c r="A219" s="102">
        <v>2</v>
      </c>
      <c r="B219" s="103">
        <v>6</v>
      </c>
      <c r="C219" s="103">
        <v>8</v>
      </c>
      <c r="D219" s="103">
        <v>5</v>
      </c>
      <c r="E219" s="202"/>
      <c r="F219" s="155" t="s">
        <v>233</v>
      </c>
      <c r="G219" s="82">
        <v>0</v>
      </c>
      <c r="H219" s="82"/>
      <c r="I219" s="131"/>
      <c r="J219" s="138" t="e">
        <f t="shared" si="133"/>
        <v>#DIV/0!</v>
      </c>
      <c r="K219" s="203"/>
      <c r="L219" s="82"/>
      <c r="M219" s="89" t="e">
        <f t="shared" si="134"/>
        <v>#DIV/0!</v>
      </c>
      <c r="N219" s="82"/>
      <c r="O219" s="82">
        <v>0</v>
      </c>
      <c r="P219" s="89" t="e">
        <f t="shared" si="135"/>
        <v>#DIV/0!</v>
      </c>
      <c r="Q219" s="200">
        <f>N219+K219+H219</f>
        <v>0</v>
      </c>
      <c r="R219" s="200"/>
      <c r="S219" s="200"/>
      <c r="T219" s="200"/>
      <c r="U219" s="200"/>
      <c r="V219" s="200"/>
      <c r="W219" s="200"/>
      <c r="X219" s="200"/>
      <c r="Y219" s="421"/>
      <c r="Z219" s="425"/>
      <c r="AA219" s="425"/>
      <c r="AB219" s="238">
        <f>+I219+L219+O219+S219+T219+U219+V219+W219+X219+Y219+Z219+AA219</f>
        <v>0</v>
      </c>
      <c r="AC219" s="443" t="e">
        <f t="shared" si="155"/>
        <v>#DIV/0!</v>
      </c>
      <c r="AD219" s="82"/>
      <c r="AE219" s="131"/>
      <c r="AF219" s="89" t="e">
        <f t="shared" si="136"/>
        <v>#DIV/0!</v>
      </c>
      <c r="AG219" s="82"/>
      <c r="AH219" s="131"/>
      <c r="AI219" s="89" t="e">
        <f t="shared" si="137"/>
        <v>#DIV/0!</v>
      </c>
      <c r="AJ219" s="82"/>
      <c r="AK219" s="131"/>
      <c r="AL219" s="89" t="e">
        <f t="shared" si="138"/>
        <v>#DIV/0!</v>
      </c>
      <c r="AM219" s="200">
        <f t="shared" si="176"/>
        <v>0</v>
      </c>
      <c r="AN219" s="200">
        <f t="shared" si="176"/>
        <v>0</v>
      </c>
      <c r="AO219" s="204" t="e">
        <f t="shared" si="172"/>
        <v>#DIV/0!</v>
      </c>
      <c r="AP219" s="82"/>
      <c r="AQ219" s="131"/>
      <c r="AR219" s="98" t="e">
        <f t="shared" si="139"/>
        <v>#DIV/0!</v>
      </c>
      <c r="AS219" s="82"/>
      <c r="AT219" s="131"/>
      <c r="AU219" s="99" t="e">
        <f t="shared" si="140"/>
        <v>#DIV/0!</v>
      </c>
      <c r="AV219" s="87"/>
      <c r="AW219" s="87"/>
      <c r="AX219" s="87" t="e">
        <f t="shared" si="173"/>
        <v>#DIV/0!</v>
      </c>
      <c r="AY219" s="88">
        <f t="shared" si="177"/>
        <v>0</v>
      </c>
      <c r="AZ219" s="88">
        <f t="shared" si="177"/>
        <v>0</v>
      </c>
      <c r="BA219" s="204" t="e">
        <f t="shared" si="174"/>
        <v>#DIV/0!</v>
      </c>
      <c r="BB219" s="82"/>
      <c r="BC219" s="82"/>
      <c r="BD219" s="100" t="e">
        <f t="shared" si="142"/>
        <v>#DIV/0!</v>
      </c>
      <c r="BE219" s="82"/>
      <c r="BF219" s="82"/>
      <c r="BG219" s="100" t="e">
        <f t="shared" si="143"/>
        <v>#DIV/0!</v>
      </c>
      <c r="BH219" s="82"/>
      <c r="BI219" s="131"/>
      <c r="BJ219" s="99" t="e">
        <f t="shared" si="144"/>
        <v>#DIV/0!</v>
      </c>
      <c r="BK219" s="200">
        <f t="shared" si="178"/>
        <v>0</v>
      </c>
      <c r="BL219" s="200">
        <f t="shared" si="178"/>
        <v>0</v>
      </c>
      <c r="BM219" s="204" t="e">
        <f t="shared" si="175"/>
        <v>#DIV/0!</v>
      </c>
      <c r="BN219" s="97">
        <f>I219+L219+O219+AE219+AH219+AK219+AQ219+AT219+AW219+BC219+BF219+BI219</f>
        <v>0</v>
      </c>
      <c r="BO219" s="134" t="e">
        <f t="shared" si="145"/>
        <v>#DIV/0!</v>
      </c>
      <c r="BP219" s="197">
        <f t="shared" si="123"/>
        <v>0</v>
      </c>
    </row>
    <row r="220" spans="1:68" ht="13.5" thickBot="1">
      <c r="A220" s="102">
        <v>2</v>
      </c>
      <c r="B220" s="103">
        <v>6</v>
      </c>
      <c r="C220" s="103">
        <v>8</v>
      </c>
      <c r="D220" s="103">
        <v>8</v>
      </c>
      <c r="E220" s="202"/>
      <c r="F220" s="155" t="s">
        <v>202</v>
      </c>
      <c r="G220" s="82">
        <f>+G221</f>
        <v>0</v>
      </c>
      <c r="H220" s="82">
        <f>+H221</f>
        <v>0</v>
      </c>
      <c r="I220" s="131">
        <f>+I221</f>
        <v>0</v>
      </c>
      <c r="J220" s="138" t="e">
        <f t="shared" si="133"/>
        <v>#DIV/0!</v>
      </c>
      <c r="K220" s="203">
        <f>+K221</f>
        <v>0</v>
      </c>
      <c r="L220" s="82">
        <f>+L221</f>
        <v>0</v>
      </c>
      <c r="M220" s="89" t="e">
        <f t="shared" si="134"/>
        <v>#DIV/0!</v>
      </c>
      <c r="N220" s="82">
        <f>+N221</f>
        <v>0</v>
      </c>
      <c r="O220" s="82">
        <f>+O221</f>
        <v>0</v>
      </c>
      <c r="P220" s="89" t="e">
        <f t="shared" si="135"/>
        <v>#DIV/0!</v>
      </c>
      <c r="Q220" s="200">
        <f>N220+K220+H220</f>
        <v>0</v>
      </c>
      <c r="R220" s="200"/>
      <c r="S220" s="200"/>
      <c r="T220" s="200"/>
      <c r="U220" s="200"/>
      <c r="V220" s="200"/>
      <c r="W220" s="200"/>
      <c r="X220" s="200"/>
      <c r="Y220" s="421"/>
      <c r="Z220" s="235"/>
      <c r="AA220" s="425"/>
      <c r="AB220" s="238">
        <f>AB221</f>
        <v>0</v>
      </c>
      <c r="AC220" s="443" t="e">
        <f t="shared" si="155"/>
        <v>#DIV/0!</v>
      </c>
      <c r="AD220" s="82">
        <f>+AD221</f>
        <v>0</v>
      </c>
      <c r="AE220" s="131">
        <f>+AE221</f>
        <v>0</v>
      </c>
      <c r="AF220" s="89" t="e">
        <f t="shared" si="136"/>
        <v>#DIV/0!</v>
      </c>
      <c r="AG220" s="82">
        <f>+AG221</f>
        <v>0</v>
      </c>
      <c r="AH220" s="131">
        <f>+AH221</f>
        <v>0</v>
      </c>
      <c r="AI220" s="89" t="e">
        <f t="shared" si="137"/>
        <v>#DIV/0!</v>
      </c>
      <c r="AJ220" s="82">
        <f>+AJ221</f>
        <v>0</v>
      </c>
      <c r="AK220" s="131">
        <f>+AK221</f>
        <v>0</v>
      </c>
      <c r="AL220" s="89" t="e">
        <f t="shared" si="138"/>
        <v>#DIV/0!</v>
      </c>
      <c r="AM220" s="200">
        <f>AJ220+AG220+AD220</f>
        <v>0</v>
      </c>
      <c r="AN220" s="82">
        <f>+AN221</f>
        <v>0</v>
      </c>
      <c r="AO220" s="204" t="e">
        <f t="shared" si="172"/>
        <v>#DIV/0!</v>
      </c>
      <c r="AP220" s="82">
        <f>+AP221</f>
        <v>0</v>
      </c>
      <c r="AQ220" s="131">
        <f>+AQ221</f>
        <v>0</v>
      </c>
      <c r="AR220" s="98" t="e">
        <f>AQ220/AP220</f>
        <v>#DIV/0!</v>
      </c>
      <c r="AS220" s="82">
        <f>+AS221</f>
        <v>0</v>
      </c>
      <c r="AT220" s="131">
        <f>+AT221</f>
        <v>0</v>
      </c>
      <c r="AU220" s="99" t="e">
        <f t="shared" si="140"/>
        <v>#DIV/0!</v>
      </c>
      <c r="AV220" s="82">
        <f>+AV221</f>
        <v>0</v>
      </c>
      <c r="AW220" s="82">
        <f>+AW221</f>
        <v>0</v>
      </c>
      <c r="AX220" s="87" t="e">
        <f t="shared" si="173"/>
        <v>#DIV/0!</v>
      </c>
      <c r="AY220" s="88">
        <f>AV220+AS220+AP220</f>
        <v>0</v>
      </c>
      <c r="AZ220" s="82">
        <f>+AZ221</f>
        <v>0</v>
      </c>
      <c r="BA220" s="204" t="e">
        <f t="shared" si="174"/>
        <v>#DIV/0!</v>
      </c>
      <c r="BB220" s="82"/>
      <c r="BC220" s="82"/>
      <c r="BD220" s="100" t="e">
        <f t="shared" si="142"/>
        <v>#DIV/0!</v>
      </c>
      <c r="BE220" s="82"/>
      <c r="BF220" s="82"/>
      <c r="BG220" s="100" t="e">
        <f t="shared" si="143"/>
        <v>#DIV/0!</v>
      </c>
      <c r="BH220" s="82">
        <f>+BH221</f>
        <v>0</v>
      </c>
      <c r="BI220" s="131">
        <f>+BI221</f>
        <v>0</v>
      </c>
      <c r="BJ220" s="99" t="e">
        <f t="shared" si="144"/>
        <v>#DIV/0!</v>
      </c>
      <c r="BK220" s="200">
        <f>BH220+BE220+BB220</f>
        <v>0</v>
      </c>
      <c r="BL220" s="82">
        <f>+BL221</f>
        <v>0</v>
      </c>
      <c r="BM220" s="204" t="e">
        <f t="shared" si="175"/>
        <v>#DIV/0!</v>
      </c>
      <c r="BN220" s="131">
        <f>+BN221</f>
        <v>0</v>
      </c>
      <c r="BO220" s="134" t="e">
        <f t="shared" si="145"/>
        <v>#DIV/0!</v>
      </c>
      <c r="BP220" s="197">
        <f t="shared" si="123"/>
        <v>0</v>
      </c>
    </row>
    <row r="221" spans="1:68" s="78" customFormat="1" ht="13.5" thickBot="1">
      <c r="A221" s="105">
        <v>2</v>
      </c>
      <c r="B221" s="106">
        <v>6</v>
      </c>
      <c r="C221" s="106">
        <v>8</v>
      </c>
      <c r="D221" s="106">
        <v>8</v>
      </c>
      <c r="E221" s="107" t="s">
        <v>149</v>
      </c>
      <c r="F221" s="91" t="s">
        <v>115</v>
      </c>
      <c r="G221" s="110">
        <v>0</v>
      </c>
      <c r="H221" s="110"/>
      <c r="I221" s="132"/>
      <c r="J221" s="139" t="e">
        <f t="shared" si="133"/>
        <v>#DIV/0!</v>
      </c>
      <c r="K221" s="151"/>
      <c r="L221" s="110"/>
      <c r="M221" s="101" t="e">
        <f t="shared" si="134"/>
        <v>#DIV/0!</v>
      </c>
      <c r="N221" s="110"/>
      <c r="O221" s="110"/>
      <c r="P221" s="101" t="e">
        <f t="shared" si="135"/>
        <v>#DIV/0!</v>
      </c>
      <c r="Q221" s="209">
        <f>N221+K221+H221</f>
        <v>0</v>
      </c>
      <c r="R221" s="209"/>
      <c r="S221" s="209"/>
      <c r="T221" s="209"/>
      <c r="U221" s="209"/>
      <c r="V221" s="209"/>
      <c r="W221" s="209"/>
      <c r="X221" s="209"/>
      <c r="Y221" s="422"/>
      <c r="Z221" s="235"/>
      <c r="AA221" s="425"/>
      <c r="AB221" s="238">
        <f>+I221+L221+O221+S221+T221+U221+V221+W221+X221+Y221+Z221+AA221</f>
        <v>0</v>
      </c>
      <c r="AC221" s="445" t="e">
        <f t="shared" si="155"/>
        <v>#DIV/0!</v>
      </c>
      <c r="AD221" s="110"/>
      <c r="AE221" s="132"/>
      <c r="AF221" s="101" t="e">
        <f t="shared" si="136"/>
        <v>#DIV/0!</v>
      </c>
      <c r="AG221" s="110"/>
      <c r="AH221" s="132"/>
      <c r="AI221" s="101" t="e">
        <f t="shared" si="137"/>
        <v>#DIV/0!</v>
      </c>
      <c r="AJ221" s="110"/>
      <c r="AK221" s="132"/>
      <c r="AL221" s="101" t="e">
        <f t="shared" si="138"/>
        <v>#DIV/0!</v>
      </c>
      <c r="AM221" s="209">
        <f>AJ221+AG221+AD221</f>
        <v>0</v>
      </c>
      <c r="AN221" s="209">
        <f>AK221+AH221+AE221</f>
        <v>0</v>
      </c>
      <c r="AO221" s="210" t="e">
        <f t="shared" si="172"/>
        <v>#DIV/0!</v>
      </c>
      <c r="AP221" s="110"/>
      <c r="AQ221" s="132"/>
      <c r="AR221" s="98" t="e">
        <f>AQ221/AP221</f>
        <v>#DIV/0!</v>
      </c>
      <c r="AS221" s="110"/>
      <c r="AT221" s="132"/>
      <c r="AU221" s="108" t="e">
        <f t="shared" si="140"/>
        <v>#DIV/0!</v>
      </c>
      <c r="AV221" s="152"/>
      <c r="AW221" s="152"/>
      <c r="AX221" s="123" t="e">
        <f t="shared" si="173"/>
        <v>#DIV/0!</v>
      </c>
      <c r="AY221" s="110">
        <f>AV221+AS221+AP221</f>
        <v>0</v>
      </c>
      <c r="AZ221" s="110">
        <f>AW221+AT221+AQ221</f>
        <v>0</v>
      </c>
      <c r="BA221" s="210" t="e">
        <f t="shared" si="174"/>
        <v>#DIV/0!</v>
      </c>
      <c r="BB221" s="110"/>
      <c r="BC221" s="110"/>
      <c r="BD221" s="109" t="e">
        <f t="shared" si="142"/>
        <v>#DIV/0!</v>
      </c>
      <c r="BE221" s="110"/>
      <c r="BF221" s="110"/>
      <c r="BG221" s="109" t="e">
        <f t="shared" si="143"/>
        <v>#DIV/0!</v>
      </c>
      <c r="BH221" s="110"/>
      <c r="BI221" s="132"/>
      <c r="BJ221" s="108" t="e">
        <f t="shared" si="144"/>
        <v>#DIV/0!</v>
      </c>
      <c r="BK221" s="209">
        <f>BH221+BE221+BB221</f>
        <v>0</v>
      </c>
      <c r="BL221" s="209">
        <f>BI221+BF221+BC221</f>
        <v>0</v>
      </c>
      <c r="BM221" s="210" t="e">
        <f t="shared" si="175"/>
        <v>#DIV/0!</v>
      </c>
      <c r="BN221" s="132">
        <f>I221+L221+O221+AE221+AH221+AK221+AQ221+AT221+AW221+BC221+BF221+BI221</f>
        <v>0</v>
      </c>
      <c r="BO221" s="135" t="e">
        <f t="shared" si="145"/>
        <v>#DIV/0!</v>
      </c>
      <c r="BP221" s="197">
        <f t="shared" si="123"/>
        <v>0</v>
      </c>
    </row>
    <row r="222" spans="1:68" ht="13.5" thickBot="1">
      <c r="A222" s="520"/>
      <c r="B222" s="521"/>
      <c r="C222" s="521"/>
      <c r="D222" s="521"/>
      <c r="E222" s="522"/>
      <c r="F222" s="256" t="s">
        <v>60</v>
      </c>
      <c r="G222" s="257">
        <f>G17+G57+G122+G174+G188+G208</f>
        <v>55905842</v>
      </c>
      <c r="H222" s="257">
        <f>H17+H57+H122+H174+H188</f>
        <v>0</v>
      </c>
      <c r="I222" s="257">
        <f>I17+I57+I122+I174+I188</f>
        <v>2694657.41</v>
      </c>
      <c r="J222" s="196" t="e">
        <f t="shared" si="133"/>
        <v>#DIV/0!</v>
      </c>
      <c r="K222" s="257">
        <f>K17+K57+K122+K174+K188</f>
        <v>7500</v>
      </c>
      <c r="L222" s="257">
        <f>L17+L57+L122+L174+L188</f>
        <v>3067265.56</v>
      </c>
      <c r="M222" s="178">
        <f t="shared" si="134"/>
        <v>408.96874133333336</v>
      </c>
      <c r="N222" s="257">
        <f aca="true" t="shared" si="179" ref="N222:AA222">N17+N57+N122+N174+N188</f>
        <v>7500</v>
      </c>
      <c r="O222" s="257">
        <f t="shared" si="179"/>
        <v>3982065.620000001</v>
      </c>
      <c r="P222" s="257" t="e">
        <f t="shared" si="179"/>
        <v>#DIV/0!</v>
      </c>
      <c r="Q222" s="257">
        <f t="shared" si="179"/>
        <v>0</v>
      </c>
      <c r="R222" s="257">
        <f t="shared" si="179"/>
        <v>0</v>
      </c>
      <c r="S222" s="257">
        <f t="shared" si="179"/>
        <v>3780445.52</v>
      </c>
      <c r="T222" s="257">
        <f t="shared" si="179"/>
        <v>3388380.2</v>
      </c>
      <c r="U222" s="257">
        <f t="shared" si="179"/>
        <v>3657482.49</v>
      </c>
      <c r="V222" s="257">
        <f t="shared" si="179"/>
        <v>3421616.4100000006</v>
      </c>
      <c r="W222" s="257">
        <f>W17+W57+W122+W174+W188+W208+W150</f>
        <v>4312394.870000001</v>
      </c>
      <c r="X222" s="257">
        <f>+X208+X188+X122+X57+X17</f>
        <v>3982989.06</v>
      </c>
      <c r="Y222" s="257">
        <f t="shared" si="179"/>
        <v>0</v>
      </c>
      <c r="Z222" s="257">
        <f t="shared" si="179"/>
        <v>0</v>
      </c>
      <c r="AA222" s="257">
        <f t="shared" si="179"/>
        <v>0</v>
      </c>
      <c r="AB222" s="257">
        <v>32287297.14</v>
      </c>
      <c r="AC222" s="213" t="e">
        <f aca="true" t="shared" si="180" ref="AC222:BO222">AC17+AC57+AC122+AC174+AC188</f>
        <v>#DIV/0!</v>
      </c>
      <c r="AD222" s="257">
        <f t="shared" si="180"/>
        <v>62600</v>
      </c>
      <c r="AE222" s="257">
        <f t="shared" si="180"/>
        <v>62600</v>
      </c>
      <c r="AF222" s="257" t="e">
        <f t="shared" si="180"/>
        <v>#DIV/0!</v>
      </c>
      <c r="AG222" s="257">
        <f t="shared" si="180"/>
        <v>62600</v>
      </c>
      <c r="AH222" s="257">
        <f t="shared" si="180"/>
        <v>62600</v>
      </c>
      <c r="AI222" s="257" t="e">
        <f t="shared" si="180"/>
        <v>#DIV/0!</v>
      </c>
      <c r="AJ222" s="257">
        <f t="shared" si="180"/>
        <v>62600</v>
      </c>
      <c r="AK222" s="257">
        <f t="shared" si="180"/>
        <v>62600</v>
      </c>
      <c r="AL222" s="257" t="e">
        <f t="shared" si="180"/>
        <v>#DIV/0!</v>
      </c>
      <c r="AM222" s="257">
        <f t="shared" si="180"/>
        <v>62600</v>
      </c>
      <c r="AN222" s="257">
        <f t="shared" si="180"/>
        <v>62600</v>
      </c>
      <c r="AO222" s="257" t="e">
        <f t="shared" si="180"/>
        <v>#DIV/0!</v>
      </c>
      <c r="AP222" s="257">
        <f t="shared" si="180"/>
        <v>62600</v>
      </c>
      <c r="AQ222" s="257">
        <f t="shared" si="180"/>
        <v>62600</v>
      </c>
      <c r="AR222" s="257" t="e">
        <f t="shared" si="180"/>
        <v>#DIV/0!</v>
      </c>
      <c r="AS222" s="257">
        <f t="shared" si="180"/>
        <v>62600</v>
      </c>
      <c r="AT222" s="257">
        <f t="shared" si="180"/>
        <v>62600</v>
      </c>
      <c r="AU222" s="257" t="e">
        <f t="shared" si="180"/>
        <v>#DIV/0!</v>
      </c>
      <c r="AV222" s="257">
        <f t="shared" si="180"/>
        <v>62600</v>
      </c>
      <c r="AW222" s="257">
        <f t="shared" si="180"/>
        <v>62600</v>
      </c>
      <c r="AX222" s="257" t="e">
        <f t="shared" si="180"/>
        <v>#DIV/0!</v>
      </c>
      <c r="AY222" s="257">
        <f t="shared" si="180"/>
        <v>62600</v>
      </c>
      <c r="AZ222" s="257">
        <f t="shared" si="180"/>
        <v>62600</v>
      </c>
      <c r="BA222" s="257" t="e">
        <f t="shared" si="180"/>
        <v>#DIV/0!</v>
      </c>
      <c r="BB222" s="257">
        <f t="shared" si="180"/>
        <v>0</v>
      </c>
      <c r="BC222" s="257">
        <f t="shared" si="180"/>
        <v>0</v>
      </c>
      <c r="BD222" s="257" t="e">
        <f t="shared" si="180"/>
        <v>#DIV/0!</v>
      </c>
      <c r="BE222" s="257">
        <f t="shared" si="180"/>
        <v>0</v>
      </c>
      <c r="BF222" s="257">
        <f t="shared" si="180"/>
        <v>0</v>
      </c>
      <c r="BG222" s="257" t="e">
        <f t="shared" si="180"/>
        <v>#DIV/0!</v>
      </c>
      <c r="BH222" s="257">
        <f t="shared" si="180"/>
        <v>62600</v>
      </c>
      <c r="BI222" s="257">
        <f t="shared" si="180"/>
        <v>62600</v>
      </c>
      <c r="BJ222" s="257" t="e">
        <f t="shared" si="180"/>
        <v>#DIV/0!</v>
      </c>
      <c r="BK222" s="257">
        <f t="shared" si="180"/>
        <v>62600</v>
      </c>
      <c r="BL222" s="257">
        <f t="shared" si="180"/>
        <v>62600</v>
      </c>
      <c r="BM222" s="257" t="e">
        <f t="shared" si="180"/>
        <v>#DIV/0!</v>
      </c>
      <c r="BN222" s="257">
        <f t="shared" si="180"/>
        <v>10282678.170000002</v>
      </c>
      <c r="BO222" s="257" t="e">
        <f t="shared" si="180"/>
        <v>#DIV/0!</v>
      </c>
      <c r="BP222" s="197">
        <f t="shared" si="123"/>
        <v>23618544.86</v>
      </c>
    </row>
    <row r="223" spans="1:68" s="78" customFormat="1" ht="15" customHeight="1">
      <c r="A223" s="157"/>
      <c r="B223" s="157" t="s">
        <v>7</v>
      </c>
      <c r="C223" s="157"/>
      <c r="D223" s="157"/>
      <c r="E223" s="157"/>
      <c r="F223" s="158" t="s">
        <v>263</v>
      </c>
      <c r="G223" s="159"/>
      <c r="H223" s="159"/>
      <c r="I223" s="159"/>
      <c r="J223" s="160"/>
      <c r="K223" s="159"/>
      <c r="L223" s="159" t="s">
        <v>7</v>
      </c>
      <c r="M223" s="161"/>
      <c r="N223" s="159"/>
      <c r="O223" s="159"/>
      <c r="P223" s="161"/>
      <c r="Q223" s="159"/>
      <c r="R223" s="159"/>
      <c r="S223" s="159"/>
      <c r="T223" s="159" t="s">
        <v>7</v>
      </c>
      <c r="U223" s="159" t="s">
        <v>7</v>
      </c>
      <c r="V223" s="159" t="s">
        <v>7</v>
      </c>
      <c r="W223" s="159"/>
      <c r="X223" s="159" t="s">
        <v>7</v>
      </c>
      <c r="Y223" s="159"/>
      <c r="Z223" s="159" t="s">
        <v>7</v>
      </c>
      <c r="AA223" s="159" t="s">
        <v>7</v>
      </c>
      <c r="AB223" s="159" t="s">
        <v>7</v>
      </c>
      <c r="AC223" s="162"/>
      <c r="AD223" s="159"/>
      <c r="AE223" s="159"/>
      <c r="AF223" s="161"/>
      <c r="AG223" s="159"/>
      <c r="AH223" s="159"/>
      <c r="AI223" s="161"/>
      <c r="AJ223" s="159"/>
      <c r="AK223" s="159"/>
      <c r="AL223" s="161"/>
      <c r="AM223" s="159"/>
      <c r="AN223" s="159"/>
      <c r="AO223" s="162"/>
      <c r="AP223" s="159"/>
      <c r="AQ223" s="159"/>
      <c r="AR223" s="160"/>
      <c r="AS223" s="159"/>
      <c r="AT223" s="159"/>
      <c r="AU223" s="163"/>
      <c r="AV223" s="159"/>
      <c r="AW223" s="159"/>
      <c r="AX223" s="164"/>
      <c r="AY223" s="163"/>
      <c r="AZ223" s="163"/>
      <c r="BA223" s="162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59"/>
      <c r="BL223" s="159"/>
      <c r="BM223" s="162"/>
      <c r="BN223" s="159"/>
      <c r="BO223" s="161" t="s">
        <v>7</v>
      </c>
      <c r="BP223" s="436" t="s">
        <v>7</v>
      </c>
    </row>
    <row r="224" spans="6:68" ht="9" customHeight="1">
      <c r="F224" s="166"/>
      <c r="G224" s="7" t="s">
        <v>7</v>
      </c>
      <c r="H224" s="150"/>
      <c r="I224" s="167" t="s">
        <v>7</v>
      </c>
      <c r="J224" s="167"/>
      <c r="K224" s="167"/>
      <c r="L224" s="167"/>
      <c r="M224" s="167"/>
      <c r="N224" s="167"/>
      <c r="O224" s="167" t="s">
        <v>7</v>
      </c>
      <c r="P224" s="167"/>
      <c r="Q224" s="150"/>
      <c r="R224" s="150"/>
      <c r="S224" s="150"/>
      <c r="T224" s="434" t="s">
        <v>7</v>
      </c>
      <c r="U224" s="468" t="s">
        <v>7</v>
      </c>
      <c r="V224" s="468" t="s">
        <v>7</v>
      </c>
      <c r="W224" s="150" t="s">
        <v>7</v>
      </c>
      <c r="X224" s="9" t="s">
        <v>7</v>
      </c>
      <c r="Y224" s="150"/>
      <c r="Z224" s="434" t="s">
        <v>7</v>
      </c>
      <c r="AA224" s="434" t="s">
        <v>7</v>
      </c>
      <c r="AB224" s="457"/>
      <c r="BM224" s="96"/>
      <c r="BN224" s="95"/>
      <c r="BP224" s="419"/>
    </row>
    <row r="225" spans="6:68" ht="38.25" customHeight="1">
      <c r="F225" s="518" t="s">
        <v>234</v>
      </c>
      <c r="G225" s="519"/>
      <c r="H225" s="519"/>
      <c r="I225" s="519"/>
      <c r="J225" s="519"/>
      <c r="K225" s="519"/>
      <c r="L225" s="523"/>
      <c r="M225" s="524"/>
      <c r="N225" s="524"/>
      <c r="O225" s="524"/>
      <c r="P225" s="524"/>
      <c r="Q225" s="524"/>
      <c r="R225" s="524"/>
      <c r="S225" s="524"/>
      <c r="T225" s="524"/>
      <c r="U225" s="524"/>
      <c r="V225" s="524"/>
      <c r="W225" s="524"/>
      <c r="X225" s="524"/>
      <c r="Y225" s="524"/>
      <c r="Z225" s="524"/>
      <c r="AA225" s="524"/>
      <c r="AB225" s="524"/>
      <c r="AC225" s="524"/>
      <c r="AD225" s="524"/>
      <c r="AE225" s="524"/>
      <c r="AF225" s="524"/>
      <c r="AG225" s="524"/>
      <c r="AH225" s="524"/>
      <c r="AI225" s="524"/>
      <c r="AJ225" s="524"/>
      <c r="AK225" s="524"/>
      <c r="AL225" s="524"/>
      <c r="AM225" s="524"/>
      <c r="AN225" s="524"/>
      <c r="AO225" s="524"/>
      <c r="AP225" s="524"/>
      <c r="AQ225" s="524"/>
      <c r="AR225" s="524"/>
      <c r="AS225" s="524"/>
      <c r="AT225" s="524"/>
      <c r="AU225" s="524"/>
      <c r="AV225" s="524"/>
      <c r="AW225" s="524"/>
      <c r="AX225" s="524"/>
      <c r="AY225" s="524"/>
      <c r="AZ225" s="524"/>
      <c r="BA225" s="524"/>
      <c r="BB225" s="524"/>
      <c r="BC225" s="524"/>
      <c r="BD225" s="524"/>
      <c r="BE225" s="524"/>
      <c r="BF225" s="524"/>
      <c r="BG225" s="524"/>
      <c r="BH225" s="524"/>
      <c r="BI225" s="524"/>
      <c r="BJ225" s="524"/>
      <c r="BK225" s="524"/>
      <c r="BL225" s="524"/>
      <c r="BM225" s="524"/>
      <c r="BN225" s="524"/>
      <c r="BO225" s="524"/>
      <c r="BP225" s="524"/>
    </row>
    <row r="226" spans="6:66" ht="5.25" customHeight="1" hidden="1">
      <c r="F226" s="22"/>
      <c r="BM226" s="96"/>
      <c r="BN226" s="95"/>
    </row>
    <row r="227" spans="9:68" ht="12.75">
      <c r="I227" s="167" t="s">
        <v>7</v>
      </c>
      <c r="O227" s="167" t="s">
        <v>7</v>
      </c>
      <c r="U227" s="79"/>
      <c r="W227" s="439"/>
      <c r="AB227" s="458"/>
      <c r="BP227" s="437"/>
    </row>
    <row r="228" spans="23:68" ht="12.75">
      <c r="W228" s="438"/>
      <c r="AA228" s="434" t="s">
        <v>7</v>
      </c>
      <c r="AB228" s="458" t="s">
        <v>7</v>
      </c>
      <c r="BP228" s="419" t="s">
        <v>7</v>
      </c>
    </row>
    <row r="229" ht="12.75">
      <c r="T229" s="467" t="s">
        <v>7</v>
      </c>
    </row>
    <row r="230" ht="12.75">
      <c r="W230" s="439"/>
    </row>
    <row r="231" ht="12.75">
      <c r="F231" s="467" t="s">
        <v>7</v>
      </c>
    </row>
  </sheetData>
  <sheetProtection/>
  <mergeCells count="33">
    <mergeCell ref="E7:E16"/>
    <mergeCell ref="A7:A16"/>
    <mergeCell ref="BE7:BG15"/>
    <mergeCell ref="B7:B16"/>
    <mergeCell ref="AY7:BA15"/>
    <mergeCell ref="AD7:AF15"/>
    <mergeCell ref="BP7:BP16"/>
    <mergeCell ref="BO7:BO16"/>
    <mergeCell ref="AP7:AR15"/>
    <mergeCell ref="AS7:AU15"/>
    <mergeCell ref="BH7:BJ15"/>
    <mergeCell ref="Q7:AC15"/>
    <mergeCell ref="AM7:AO15"/>
    <mergeCell ref="F225:K225"/>
    <mergeCell ref="A222:E222"/>
    <mergeCell ref="L225:BP225"/>
    <mergeCell ref="AG7:AI15"/>
    <mergeCell ref="AJ7:AL15"/>
    <mergeCell ref="AV7:AX15"/>
    <mergeCell ref="H7:P15"/>
    <mergeCell ref="D7:D16"/>
    <mergeCell ref="F7:F16"/>
    <mergeCell ref="G7:G16"/>
    <mergeCell ref="A1:BP1"/>
    <mergeCell ref="A2:BP2"/>
    <mergeCell ref="A3:BP3"/>
    <mergeCell ref="A4:BP4"/>
    <mergeCell ref="A5:BP5"/>
    <mergeCell ref="BB7:BD15"/>
    <mergeCell ref="BK7:BM15"/>
    <mergeCell ref="A6:BP6"/>
    <mergeCell ref="C7:C16"/>
    <mergeCell ref="BN7:BN16"/>
  </mergeCells>
  <printOptions/>
  <pageMargins left="0.44" right="0.25" top="0.75" bottom="0.75" header="0.3" footer="0.3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92"/>
  <sheetViews>
    <sheetView zoomScalePageLayoutView="0" workbookViewId="0" topLeftCell="A22">
      <selection activeCell="A1" sqref="A1:BF1"/>
    </sheetView>
  </sheetViews>
  <sheetFormatPr defaultColWidth="11.00390625" defaultRowHeight="12.75"/>
  <cols>
    <col min="1" max="1" width="1.875" style="0" customWidth="1"/>
    <col min="2" max="2" width="2.00390625" style="0" customWidth="1"/>
    <col min="3" max="3" width="2.125" style="0" customWidth="1"/>
    <col min="4" max="4" width="1.75390625" style="0" customWidth="1"/>
    <col min="5" max="5" width="1.875" style="418" customWidth="1"/>
    <col min="6" max="6" width="33.625" style="0" customWidth="1"/>
  </cols>
  <sheetData>
    <row r="1" spans="1:58" ht="12.75">
      <c r="A1" s="607" t="s">
        <v>168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589"/>
      <c r="BA1" s="589"/>
      <c r="BB1" s="589"/>
      <c r="BC1" s="589"/>
      <c r="BD1" s="589"/>
      <c r="BE1" s="589"/>
      <c r="BF1" s="589"/>
    </row>
    <row r="2" spans="1:58" ht="12.75">
      <c r="A2" s="607" t="s">
        <v>169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589"/>
      <c r="BA2" s="589"/>
      <c r="BB2" s="589"/>
      <c r="BC2" s="589"/>
      <c r="BD2" s="589"/>
      <c r="BE2" s="589"/>
      <c r="BF2" s="589"/>
    </row>
    <row r="3" spans="1:58" ht="12.75">
      <c r="A3" s="607" t="s">
        <v>171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8"/>
      <c r="AU3" s="608"/>
      <c r="AV3" s="608"/>
      <c r="AW3" s="608"/>
      <c r="AX3" s="608"/>
      <c r="AY3" s="608"/>
      <c r="AZ3" s="589"/>
      <c r="BA3" s="589"/>
      <c r="BB3" s="589"/>
      <c r="BC3" s="589"/>
      <c r="BD3" s="589"/>
      <c r="BE3" s="589"/>
      <c r="BF3" s="589"/>
    </row>
    <row r="4" spans="1:58" ht="12.75">
      <c r="A4" s="607" t="s">
        <v>170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608"/>
      <c r="AQ4" s="608"/>
      <c r="AR4" s="608"/>
      <c r="AS4" s="608"/>
      <c r="AT4" s="608"/>
      <c r="AU4" s="608"/>
      <c r="AV4" s="608"/>
      <c r="AW4" s="608"/>
      <c r="AX4" s="608"/>
      <c r="AY4" s="608"/>
      <c r="AZ4" s="589"/>
      <c r="BA4" s="589"/>
      <c r="BB4" s="589"/>
      <c r="BC4" s="589"/>
      <c r="BD4" s="589"/>
      <c r="BE4" s="589"/>
      <c r="BF4" s="589"/>
    </row>
    <row r="5" spans="1:58" ht="12.75">
      <c r="A5" s="607" t="s">
        <v>221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8"/>
      <c r="AY5" s="608"/>
      <c r="AZ5" s="589"/>
      <c r="BA5" s="589"/>
      <c r="BB5" s="589"/>
      <c r="BC5" s="589"/>
      <c r="BD5" s="589"/>
      <c r="BE5" s="589"/>
      <c r="BF5" s="589"/>
    </row>
    <row r="6" spans="1:58" ht="13.5" thickBot="1">
      <c r="A6" s="609" t="s">
        <v>222</v>
      </c>
      <c r="B6" s="610"/>
      <c r="C6" s="610"/>
      <c r="D6" s="610"/>
      <c r="E6" s="610"/>
      <c r="F6" s="610"/>
      <c r="G6" s="610"/>
      <c r="H6" s="611"/>
      <c r="I6" s="611"/>
      <c r="J6" s="611"/>
      <c r="K6" s="611"/>
      <c r="L6" s="611"/>
      <c r="M6" s="611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2"/>
      <c r="BA6" s="612"/>
      <c r="BB6" s="612"/>
      <c r="BC6" s="612"/>
      <c r="BD6" s="612"/>
      <c r="BE6" s="612"/>
      <c r="BF6" s="612"/>
    </row>
    <row r="7" spans="1:58" ht="9.75" customHeight="1">
      <c r="A7" s="555" t="s">
        <v>177</v>
      </c>
      <c r="B7" s="603" t="s">
        <v>176</v>
      </c>
      <c r="C7" s="514" t="s">
        <v>175</v>
      </c>
      <c r="D7" s="514" t="s">
        <v>174</v>
      </c>
      <c r="E7" s="604" t="s">
        <v>173</v>
      </c>
      <c r="F7" s="535" t="s">
        <v>201</v>
      </c>
      <c r="G7" s="590" t="s">
        <v>167</v>
      </c>
      <c r="H7" s="561" t="s">
        <v>180</v>
      </c>
      <c r="I7" s="562"/>
      <c r="J7" s="563"/>
      <c r="K7" s="570" t="s">
        <v>181</v>
      </c>
      <c r="L7" s="571"/>
      <c r="M7" s="572"/>
      <c r="N7" s="580" t="s">
        <v>182</v>
      </c>
      <c r="O7" s="581"/>
      <c r="P7" s="582"/>
      <c r="Q7" s="495" t="s">
        <v>216</v>
      </c>
      <c r="R7" s="595"/>
      <c r="S7" s="596"/>
      <c r="T7" s="525" t="s">
        <v>183</v>
      </c>
      <c r="U7" s="526"/>
      <c r="V7" s="592"/>
      <c r="W7" s="525" t="s">
        <v>184</v>
      </c>
      <c r="X7" s="526"/>
      <c r="Y7" s="592"/>
      <c r="Z7" s="525" t="s">
        <v>185</v>
      </c>
      <c r="AA7" s="526"/>
      <c r="AB7" s="592"/>
      <c r="AC7" s="495" t="s">
        <v>217</v>
      </c>
      <c r="AD7" s="595"/>
      <c r="AE7" s="596"/>
      <c r="AF7" s="495" t="s">
        <v>186</v>
      </c>
      <c r="AG7" s="496"/>
      <c r="AH7" s="592"/>
      <c r="AI7" s="495" t="s">
        <v>187</v>
      </c>
      <c r="AJ7" s="496"/>
      <c r="AK7" s="592"/>
      <c r="AL7" s="495" t="s">
        <v>188</v>
      </c>
      <c r="AM7" s="496"/>
      <c r="AN7" s="592"/>
      <c r="AO7" s="495" t="s">
        <v>218</v>
      </c>
      <c r="AP7" s="595"/>
      <c r="AQ7" s="596"/>
      <c r="AR7" s="495" t="s">
        <v>189</v>
      </c>
      <c r="AS7" s="496"/>
      <c r="AT7" s="592"/>
      <c r="AU7" s="495" t="s">
        <v>190</v>
      </c>
      <c r="AV7" s="496"/>
      <c r="AW7" s="592"/>
      <c r="AX7" s="495" t="s">
        <v>191</v>
      </c>
      <c r="AY7" s="496"/>
      <c r="AZ7" s="592"/>
      <c r="BA7" s="495" t="s">
        <v>219</v>
      </c>
      <c r="BB7" s="595"/>
      <c r="BC7" s="596"/>
      <c r="BD7" s="495" t="s">
        <v>210</v>
      </c>
      <c r="BE7" s="535" t="s">
        <v>211</v>
      </c>
      <c r="BF7" s="540" t="s">
        <v>197</v>
      </c>
    </row>
    <row r="8" spans="1:58" ht="9.75" customHeight="1">
      <c r="A8" s="556"/>
      <c r="B8" s="515"/>
      <c r="C8" s="515"/>
      <c r="D8" s="515"/>
      <c r="E8" s="605"/>
      <c r="F8" s="536"/>
      <c r="G8" s="591"/>
      <c r="H8" s="564"/>
      <c r="I8" s="565"/>
      <c r="J8" s="566"/>
      <c r="K8" s="573"/>
      <c r="L8" s="574"/>
      <c r="M8" s="575"/>
      <c r="N8" s="583"/>
      <c r="O8" s="576"/>
      <c r="P8" s="584"/>
      <c r="Q8" s="597"/>
      <c r="R8" s="598"/>
      <c r="S8" s="599"/>
      <c r="T8" s="527"/>
      <c r="U8" s="528"/>
      <c r="V8" s="593"/>
      <c r="W8" s="527"/>
      <c r="X8" s="528"/>
      <c r="Y8" s="593"/>
      <c r="Z8" s="527"/>
      <c r="AA8" s="528"/>
      <c r="AB8" s="593"/>
      <c r="AC8" s="597"/>
      <c r="AD8" s="598"/>
      <c r="AE8" s="599"/>
      <c r="AF8" s="498"/>
      <c r="AG8" s="499"/>
      <c r="AH8" s="593"/>
      <c r="AI8" s="498"/>
      <c r="AJ8" s="499"/>
      <c r="AK8" s="593"/>
      <c r="AL8" s="498"/>
      <c r="AM8" s="499"/>
      <c r="AN8" s="593"/>
      <c r="AO8" s="597"/>
      <c r="AP8" s="598"/>
      <c r="AQ8" s="599"/>
      <c r="AR8" s="498"/>
      <c r="AS8" s="499"/>
      <c r="AT8" s="593"/>
      <c r="AU8" s="498"/>
      <c r="AV8" s="499"/>
      <c r="AW8" s="593"/>
      <c r="AX8" s="498"/>
      <c r="AY8" s="499"/>
      <c r="AZ8" s="593"/>
      <c r="BA8" s="597"/>
      <c r="BB8" s="598"/>
      <c r="BC8" s="599"/>
      <c r="BD8" s="498"/>
      <c r="BE8" s="536"/>
      <c r="BF8" s="541"/>
    </row>
    <row r="9" spans="1:58" ht="7.5" customHeight="1">
      <c r="A9" s="556"/>
      <c r="B9" s="515"/>
      <c r="C9" s="515"/>
      <c r="D9" s="515"/>
      <c r="E9" s="605"/>
      <c r="F9" s="536"/>
      <c r="G9" s="591"/>
      <c r="H9" s="564"/>
      <c r="I9" s="565"/>
      <c r="J9" s="566"/>
      <c r="K9" s="573"/>
      <c r="L9" s="574"/>
      <c r="M9" s="575"/>
      <c r="N9" s="583"/>
      <c r="O9" s="576"/>
      <c r="P9" s="584"/>
      <c r="Q9" s="597"/>
      <c r="R9" s="598"/>
      <c r="S9" s="599"/>
      <c r="T9" s="527"/>
      <c r="U9" s="528"/>
      <c r="V9" s="593"/>
      <c r="W9" s="527"/>
      <c r="X9" s="528"/>
      <c r="Y9" s="593"/>
      <c r="Z9" s="527"/>
      <c r="AA9" s="528"/>
      <c r="AB9" s="593"/>
      <c r="AC9" s="597"/>
      <c r="AD9" s="598"/>
      <c r="AE9" s="599"/>
      <c r="AF9" s="498"/>
      <c r="AG9" s="499"/>
      <c r="AH9" s="593"/>
      <c r="AI9" s="498"/>
      <c r="AJ9" s="499"/>
      <c r="AK9" s="593"/>
      <c r="AL9" s="498"/>
      <c r="AM9" s="499"/>
      <c r="AN9" s="593"/>
      <c r="AO9" s="597"/>
      <c r="AP9" s="598"/>
      <c r="AQ9" s="599"/>
      <c r="AR9" s="498"/>
      <c r="AS9" s="499"/>
      <c r="AT9" s="593"/>
      <c r="AU9" s="498"/>
      <c r="AV9" s="499"/>
      <c r="AW9" s="593"/>
      <c r="AX9" s="498"/>
      <c r="AY9" s="499"/>
      <c r="AZ9" s="593"/>
      <c r="BA9" s="597"/>
      <c r="BB9" s="598"/>
      <c r="BC9" s="599"/>
      <c r="BD9" s="498"/>
      <c r="BE9" s="536"/>
      <c r="BF9" s="541"/>
    </row>
    <row r="10" spans="1:58" ht="10.5" customHeight="1">
      <c r="A10" s="556"/>
      <c r="B10" s="515"/>
      <c r="C10" s="515"/>
      <c r="D10" s="515"/>
      <c r="E10" s="605"/>
      <c r="F10" s="536"/>
      <c r="G10" s="591"/>
      <c r="H10" s="564"/>
      <c r="I10" s="565"/>
      <c r="J10" s="566"/>
      <c r="K10" s="573"/>
      <c r="L10" s="574"/>
      <c r="M10" s="575"/>
      <c r="N10" s="583"/>
      <c r="O10" s="576"/>
      <c r="P10" s="584"/>
      <c r="Q10" s="597"/>
      <c r="R10" s="598"/>
      <c r="S10" s="599"/>
      <c r="T10" s="527"/>
      <c r="U10" s="528"/>
      <c r="V10" s="593"/>
      <c r="W10" s="527"/>
      <c r="X10" s="528"/>
      <c r="Y10" s="593"/>
      <c r="Z10" s="527"/>
      <c r="AA10" s="528"/>
      <c r="AB10" s="593"/>
      <c r="AC10" s="597"/>
      <c r="AD10" s="598"/>
      <c r="AE10" s="599"/>
      <c r="AF10" s="498"/>
      <c r="AG10" s="499"/>
      <c r="AH10" s="593"/>
      <c r="AI10" s="498"/>
      <c r="AJ10" s="499"/>
      <c r="AK10" s="593"/>
      <c r="AL10" s="498"/>
      <c r="AM10" s="499"/>
      <c r="AN10" s="593"/>
      <c r="AO10" s="597"/>
      <c r="AP10" s="598"/>
      <c r="AQ10" s="599"/>
      <c r="AR10" s="498"/>
      <c r="AS10" s="499"/>
      <c r="AT10" s="593"/>
      <c r="AU10" s="498"/>
      <c r="AV10" s="499"/>
      <c r="AW10" s="593"/>
      <c r="AX10" s="498"/>
      <c r="AY10" s="499"/>
      <c r="AZ10" s="593"/>
      <c r="BA10" s="597"/>
      <c r="BB10" s="598"/>
      <c r="BC10" s="599"/>
      <c r="BD10" s="498"/>
      <c r="BE10" s="536"/>
      <c r="BF10" s="541"/>
    </row>
    <row r="11" spans="1:58" ht="10.5" customHeight="1">
      <c r="A11" s="556"/>
      <c r="B11" s="515"/>
      <c r="C11" s="515"/>
      <c r="D11" s="515"/>
      <c r="E11" s="605"/>
      <c r="F11" s="536"/>
      <c r="G11" s="591"/>
      <c r="H11" s="564"/>
      <c r="I11" s="565"/>
      <c r="J11" s="566"/>
      <c r="K11" s="573"/>
      <c r="L11" s="576"/>
      <c r="M11" s="575"/>
      <c r="N11" s="583"/>
      <c r="O11" s="576"/>
      <c r="P11" s="584"/>
      <c r="Q11" s="597"/>
      <c r="R11" s="598"/>
      <c r="S11" s="599"/>
      <c r="T11" s="527"/>
      <c r="U11" s="528"/>
      <c r="V11" s="593"/>
      <c r="W11" s="527"/>
      <c r="X11" s="528"/>
      <c r="Y11" s="593"/>
      <c r="Z11" s="527"/>
      <c r="AA11" s="528"/>
      <c r="AB11" s="593"/>
      <c r="AC11" s="597"/>
      <c r="AD11" s="598"/>
      <c r="AE11" s="599"/>
      <c r="AF11" s="498"/>
      <c r="AG11" s="499"/>
      <c r="AH11" s="593"/>
      <c r="AI11" s="498"/>
      <c r="AJ11" s="499"/>
      <c r="AK11" s="593"/>
      <c r="AL11" s="498"/>
      <c r="AM11" s="499"/>
      <c r="AN11" s="593"/>
      <c r="AO11" s="597"/>
      <c r="AP11" s="598"/>
      <c r="AQ11" s="599"/>
      <c r="AR11" s="498"/>
      <c r="AS11" s="499"/>
      <c r="AT11" s="593"/>
      <c r="AU11" s="498"/>
      <c r="AV11" s="499"/>
      <c r="AW11" s="593"/>
      <c r="AX11" s="498"/>
      <c r="AY11" s="499"/>
      <c r="AZ11" s="593"/>
      <c r="BA11" s="597"/>
      <c r="BB11" s="598"/>
      <c r="BC11" s="599"/>
      <c r="BD11" s="498"/>
      <c r="BE11" s="536"/>
      <c r="BF11" s="541"/>
    </row>
    <row r="12" spans="1:58" ht="10.5" customHeight="1">
      <c r="A12" s="556"/>
      <c r="B12" s="515"/>
      <c r="C12" s="515"/>
      <c r="D12" s="515"/>
      <c r="E12" s="605"/>
      <c r="F12" s="536"/>
      <c r="G12" s="591"/>
      <c r="H12" s="564"/>
      <c r="I12" s="565"/>
      <c r="J12" s="566"/>
      <c r="K12" s="573"/>
      <c r="L12" s="574"/>
      <c r="M12" s="575"/>
      <c r="N12" s="583"/>
      <c r="O12" s="576"/>
      <c r="P12" s="584"/>
      <c r="Q12" s="597"/>
      <c r="R12" s="598"/>
      <c r="S12" s="599"/>
      <c r="T12" s="527"/>
      <c r="U12" s="528"/>
      <c r="V12" s="593"/>
      <c r="W12" s="527"/>
      <c r="X12" s="528"/>
      <c r="Y12" s="593"/>
      <c r="Z12" s="527"/>
      <c r="AA12" s="528"/>
      <c r="AB12" s="593"/>
      <c r="AC12" s="597"/>
      <c r="AD12" s="598"/>
      <c r="AE12" s="599"/>
      <c r="AF12" s="498"/>
      <c r="AG12" s="499"/>
      <c r="AH12" s="593"/>
      <c r="AI12" s="498"/>
      <c r="AJ12" s="499"/>
      <c r="AK12" s="593"/>
      <c r="AL12" s="498"/>
      <c r="AM12" s="499"/>
      <c r="AN12" s="593"/>
      <c r="AO12" s="597"/>
      <c r="AP12" s="598"/>
      <c r="AQ12" s="599"/>
      <c r="AR12" s="498"/>
      <c r="AS12" s="499"/>
      <c r="AT12" s="593"/>
      <c r="AU12" s="498"/>
      <c r="AV12" s="499"/>
      <c r="AW12" s="593"/>
      <c r="AX12" s="498"/>
      <c r="AY12" s="499"/>
      <c r="AZ12" s="593"/>
      <c r="BA12" s="597"/>
      <c r="BB12" s="598"/>
      <c r="BC12" s="599"/>
      <c r="BD12" s="498"/>
      <c r="BE12" s="536"/>
      <c r="BF12" s="541"/>
    </row>
    <row r="13" spans="1:58" ht="12.75">
      <c r="A13" s="556"/>
      <c r="B13" s="515"/>
      <c r="C13" s="515"/>
      <c r="D13" s="515"/>
      <c r="E13" s="605"/>
      <c r="F13" s="536"/>
      <c r="G13" s="591"/>
      <c r="H13" s="564"/>
      <c r="I13" s="565"/>
      <c r="J13" s="566"/>
      <c r="K13" s="573"/>
      <c r="L13" s="574"/>
      <c r="M13" s="575"/>
      <c r="N13" s="583"/>
      <c r="O13" s="576"/>
      <c r="P13" s="584"/>
      <c r="Q13" s="597"/>
      <c r="R13" s="598"/>
      <c r="S13" s="599"/>
      <c r="T13" s="527"/>
      <c r="U13" s="528"/>
      <c r="V13" s="593"/>
      <c r="W13" s="527"/>
      <c r="X13" s="528"/>
      <c r="Y13" s="593"/>
      <c r="Z13" s="527"/>
      <c r="AA13" s="528"/>
      <c r="AB13" s="593"/>
      <c r="AC13" s="597"/>
      <c r="AD13" s="598"/>
      <c r="AE13" s="599"/>
      <c r="AF13" s="498"/>
      <c r="AG13" s="499"/>
      <c r="AH13" s="593"/>
      <c r="AI13" s="498"/>
      <c r="AJ13" s="499"/>
      <c r="AK13" s="593"/>
      <c r="AL13" s="498"/>
      <c r="AM13" s="499"/>
      <c r="AN13" s="593"/>
      <c r="AO13" s="597"/>
      <c r="AP13" s="598"/>
      <c r="AQ13" s="599"/>
      <c r="AR13" s="498"/>
      <c r="AS13" s="499"/>
      <c r="AT13" s="593"/>
      <c r="AU13" s="498"/>
      <c r="AV13" s="499"/>
      <c r="AW13" s="593"/>
      <c r="AX13" s="498"/>
      <c r="AY13" s="499"/>
      <c r="AZ13" s="593"/>
      <c r="BA13" s="597"/>
      <c r="BB13" s="598"/>
      <c r="BC13" s="599"/>
      <c r="BD13" s="498"/>
      <c r="BE13" s="536"/>
      <c r="BF13" s="541"/>
    </row>
    <row r="14" spans="1:58" ht="7.5" customHeight="1">
      <c r="A14" s="556"/>
      <c r="B14" s="515"/>
      <c r="C14" s="515"/>
      <c r="D14" s="515"/>
      <c r="E14" s="605"/>
      <c r="F14" s="536"/>
      <c r="G14" s="591"/>
      <c r="H14" s="564"/>
      <c r="I14" s="565"/>
      <c r="J14" s="566"/>
      <c r="K14" s="573"/>
      <c r="L14" s="574"/>
      <c r="M14" s="575"/>
      <c r="N14" s="583"/>
      <c r="O14" s="576"/>
      <c r="P14" s="584"/>
      <c r="Q14" s="597"/>
      <c r="R14" s="598"/>
      <c r="S14" s="599"/>
      <c r="T14" s="527"/>
      <c r="U14" s="528"/>
      <c r="V14" s="593"/>
      <c r="W14" s="527"/>
      <c r="X14" s="528"/>
      <c r="Y14" s="593"/>
      <c r="Z14" s="527"/>
      <c r="AA14" s="528"/>
      <c r="AB14" s="593"/>
      <c r="AC14" s="597"/>
      <c r="AD14" s="598"/>
      <c r="AE14" s="599"/>
      <c r="AF14" s="498"/>
      <c r="AG14" s="499"/>
      <c r="AH14" s="593"/>
      <c r="AI14" s="498"/>
      <c r="AJ14" s="499"/>
      <c r="AK14" s="593"/>
      <c r="AL14" s="498"/>
      <c r="AM14" s="499"/>
      <c r="AN14" s="593"/>
      <c r="AO14" s="597"/>
      <c r="AP14" s="598"/>
      <c r="AQ14" s="599"/>
      <c r="AR14" s="498"/>
      <c r="AS14" s="499"/>
      <c r="AT14" s="593"/>
      <c r="AU14" s="498"/>
      <c r="AV14" s="499"/>
      <c r="AW14" s="593"/>
      <c r="AX14" s="498"/>
      <c r="AY14" s="499"/>
      <c r="AZ14" s="593"/>
      <c r="BA14" s="597"/>
      <c r="BB14" s="598"/>
      <c r="BC14" s="599"/>
      <c r="BD14" s="498"/>
      <c r="BE14" s="536"/>
      <c r="BF14" s="541"/>
    </row>
    <row r="15" spans="1:58" ht="8.25" customHeight="1" thickBot="1">
      <c r="A15" s="556"/>
      <c r="B15" s="515"/>
      <c r="C15" s="515"/>
      <c r="D15" s="515"/>
      <c r="E15" s="605"/>
      <c r="F15" s="536"/>
      <c r="G15" s="591"/>
      <c r="H15" s="567"/>
      <c r="I15" s="568"/>
      <c r="J15" s="569"/>
      <c r="K15" s="577"/>
      <c r="L15" s="578"/>
      <c r="M15" s="579"/>
      <c r="N15" s="585"/>
      <c r="O15" s="586"/>
      <c r="P15" s="587"/>
      <c r="Q15" s="600"/>
      <c r="R15" s="601"/>
      <c r="S15" s="602"/>
      <c r="T15" s="529"/>
      <c r="U15" s="530"/>
      <c r="V15" s="594"/>
      <c r="W15" s="529"/>
      <c r="X15" s="530"/>
      <c r="Y15" s="594"/>
      <c r="Z15" s="529"/>
      <c r="AA15" s="530"/>
      <c r="AB15" s="594"/>
      <c r="AC15" s="600"/>
      <c r="AD15" s="601"/>
      <c r="AE15" s="602"/>
      <c r="AF15" s="501"/>
      <c r="AG15" s="502"/>
      <c r="AH15" s="594"/>
      <c r="AI15" s="501"/>
      <c r="AJ15" s="502"/>
      <c r="AK15" s="594"/>
      <c r="AL15" s="501"/>
      <c r="AM15" s="502"/>
      <c r="AN15" s="594"/>
      <c r="AO15" s="600"/>
      <c r="AP15" s="601"/>
      <c r="AQ15" s="602"/>
      <c r="AR15" s="501"/>
      <c r="AS15" s="502"/>
      <c r="AT15" s="594"/>
      <c r="AU15" s="501"/>
      <c r="AV15" s="502"/>
      <c r="AW15" s="594"/>
      <c r="AX15" s="501"/>
      <c r="AY15" s="502"/>
      <c r="AZ15" s="594"/>
      <c r="BA15" s="600"/>
      <c r="BB15" s="601"/>
      <c r="BC15" s="602"/>
      <c r="BD15" s="498"/>
      <c r="BE15" s="536"/>
      <c r="BF15" s="541"/>
    </row>
    <row r="16" spans="1:58" ht="11.25" customHeight="1" thickBot="1">
      <c r="A16" s="557"/>
      <c r="B16" s="516"/>
      <c r="C16" s="516"/>
      <c r="D16" s="516"/>
      <c r="E16" s="606"/>
      <c r="F16" s="537"/>
      <c r="G16" s="539"/>
      <c r="H16" s="184" t="s">
        <v>198</v>
      </c>
      <c r="I16" s="185" t="s">
        <v>199</v>
      </c>
      <c r="J16" s="186" t="s">
        <v>200</v>
      </c>
      <c r="K16" s="184" t="s">
        <v>198</v>
      </c>
      <c r="L16" s="185" t="s">
        <v>199</v>
      </c>
      <c r="M16" s="186" t="s">
        <v>200</v>
      </c>
      <c r="N16" s="184" t="s">
        <v>198</v>
      </c>
      <c r="O16" s="185" t="s">
        <v>199</v>
      </c>
      <c r="P16" s="186" t="s">
        <v>200</v>
      </c>
      <c r="Q16" s="185" t="s">
        <v>198</v>
      </c>
      <c r="R16" s="185" t="s">
        <v>199</v>
      </c>
      <c r="S16" s="187" t="s">
        <v>200</v>
      </c>
      <c r="T16" s="186" t="s">
        <v>198</v>
      </c>
      <c r="U16" s="185" t="s">
        <v>199</v>
      </c>
      <c r="V16" s="188" t="s">
        <v>200</v>
      </c>
      <c r="W16" s="186" t="s">
        <v>198</v>
      </c>
      <c r="X16" s="185" t="s">
        <v>199</v>
      </c>
      <c r="Y16" s="187" t="s">
        <v>200</v>
      </c>
      <c r="Z16" s="186" t="s">
        <v>198</v>
      </c>
      <c r="AA16" s="185" t="s">
        <v>199</v>
      </c>
      <c r="AB16" s="187" t="s">
        <v>200</v>
      </c>
      <c r="AC16" s="185" t="s">
        <v>198</v>
      </c>
      <c r="AD16" s="185" t="s">
        <v>199</v>
      </c>
      <c r="AE16" s="186" t="s">
        <v>200</v>
      </c>
      <c r="AF16" s="184" t="s">
        <v>198</v>
      </c>
      <c r="AG16" s="185" t="s">
        <v>199</v>
      </c>
      <c r="AH16" s="186" t="s">
        <v>200</v>
      </c>
      <c r="AI16" s="184" t="s">
        <v>198</v>
      </c>
      <c r="AJ16" s="185" t="s">
        <v>199</v>
      </c>
      <c r="AK16" s="186" t="s">
        <v>200</v>
      </c>
      <c r="AL16" s="184" t="s">
        <v>198</v>
      </c>
      <c r="AM16" s="185" t="s">
        <v>199</v>
      </c>
      <c r="AN16" s="186" t="s">
        <v>200</v>
      </c>
      <c r="AO16" s="186" t="s">
        <v>198</v>
      </c>
      <c r="AP16" s="185" t="s">
        <v>199</v>
      </c>
      <c r="AQ16" s="186" t="s">
        <v>200</v>
      </c>
      <c r="AR16" s="186" t="s">
        <v>198</v>
      </c>
      <c r="AS16" s="185" t="s">
        <v>199</v>
      </c>
      <c r="AT16" s="186" t="s">
        <v>212</v>
      </c>
      <c r="AU16" s="186" t="s">
        <v>198</v>
      </c>
      <c r="AV16" s="185" t="s">
        <v>199</v>
      </c>
      <c r="AW16" s="186" t="s">
        <v>200</v>
      </c>
      <c r="AX16" s="186" t="s">
        <v>198</v>
      </c>
      <c r="AY16" s="185" t="s">
        <v>199</v>
      </c>
      <c r="AZ16" s="186" t="s">
        <v>200</v>
      </c>
      <c r="BA16" s="189" t="s">
        <v>198</v>
      </c>
      <c r="BB16" s="190" t="s">
        <v>199</v>
      </c>
      <c r="BC16" s="191" t="s">
        <v>200</v>
      </c>
      <c r="BD16" s="517"/>
      <c r="BE16" s="537"/>
      <c r="BF16" s="542"/>
    </row>
    <row r="17" spans="1:58" ht="13.5" thickBot="1">
      <c r="A17" s="263">
        <v>2</v>
      </c>
      <c r="B17" s="264">
        <v>1</v>
      </c>
      <c r="C17" s="264"/>
      <c r="D17" s="264"/>
      <c r="E17" s="399"/>
      <c r="F17" s="195" t="s">
        <v>56</v>
      </c>
      <c r="G17" s="265">
        <f>G19+G31+G38+G44</f>
        <v>41331487</v>
      </c>
      <c r="H17" s="265">
        <f>H19+H31+H38+H44</f>
        <v>0</v>
      </c>
      <c r="I17" s="266">
        <f>I19+I31+I38+I44</f>
        <v>2127758.12</v>
      </c>
      <c r="J17" s="267" t="e">
        <f>I17/H17</f>
        <v>#DIV/0!</v>
      </c>
      <c r="K17" s="268">
        <f>K19+K31+K38+K44</f>
        <v>0</v>
      </c>
      <c r="L17" s="265">
        <f>L19+L31+L38+L44</f>
        <v>2107758.12</v>
      </c>
      <c r="M17" s="269" t="e">
        <f>L17/K17</f>
        <v>#DIV/0!</v>
      </c>
      <c r="N17" s="265">
        <f>N19+N31+N38+N44</f>
        <v>0</v>
      </c>
      <c r="O17" s="265">
        <f>O19+O31+O38+O44</f>
        <v>2107758.12</v>
      </c>
      <c r="P17" s="269" t="e">
        <f>O17/N17</f>
        <v>#DIV/0!</v>
      </c>
      <c r="Q17" s="265">
        <f>Q19+Q31+Q38+Q44</f>
        <v>0</v>
      </c>
      <c r="R17" s="265">
        <f>R19+R31+R38+R44</f>
        <v>6365924.36</v>
      </c>
      <c r="S17" s="270" t="e">
        <f>R17/Q17</f>
        <v>#DIV/0!</v>
      </c>
      <c r="T17" s="265">
        <f>T19+T31+T38+T44</f>
        <v>0</v>
      </c>
      <c r="U17" s="266">
        <f>U19+U31+U38+U44</f>
        <v>0</v>
      </c>
      <c r="V17" s="269" t="e">
        <f>U17/T17</f>
        <v>#DIV/0!</v>
      </c>
      <c r="W17" s="265">
        <f>W19+W31+W38+W44</f>
        <v>0</v>
      </c>
      <c r="X17" s="266">
        <f>X19+X31+X38+X44</f>
        <v>0</v>
      </c>
      <c r="Y17" s="269" t="e">
        <f>X17/W17</f>
        <v>#DIV/0!</v>
      </c>
      <c r="Z17" s="265">
        <f>Z19+Z31+Z38+Z44</f>
        <v>0</v>
      </c>
      <c r="AA17" s="266">
        <f>AA19+AA31+AA38+AA44</f>
        <v>0</v>
      </c>
      <c r="AB17" s="269" t="e">
        <f>AA17/Z17</f>
        <v>#DIV/0!</v>
      </c>
      <c r="AC17" s="265">
        <f>AC19+AC31+AC38+AC44</f>
        <v>0</v>
      </c>
      <c r="AD17" s="265">
        <f>AD19+AD31+AD38+AD44</f>
        <v>0</v>
      </c>
      <c r="AE17" s="270" t="e">
        <f>AD17/AC17</f>
        <v>#DIV/0!</v>
      </c>
      <c r="AF17" s="265">
        <f>AF19+AF31+AF38+AF44</f>
        <v>0</v>
      </c>
      <c r="AG17" s="266">
        <f>AG19+AG31+AG38+AG44</f>
        <v>0</v>
      </c>
      <c r="AH17" s="271" t="e">
        <f>AG17/AF17</f>
        <v>#DIV/0!</v>
      </c>
      <c r="AI17" s="265">
        <f>AI19+AI31+AI38+AI44</f>
        <v>0</v>
      </c>
      <c r="AJ17" s="266">
        <f>AJ19+AJ31+AJ38+AJ44</f>
        <v>0</v>
      </c>
      <c r="AK17" s="266" t="e">
        <f>AJ17/AI17</f>
        <v>#DIV/0!</v>
      </c>
      <c r="AL17" s="265">
        <f>AL19+AL31+AL38+AL44</f>
        <v>0</v>
      </c>
      <c r="AM17" s="265">
        <f>AM19+AM31+AM38+AM44</f>
        <v>0</v>
      </c>
      <c r="AN17" s="265" t="e">
        <f>AM17/AL17</f>
        <v>#DIV/0!</v>
      </c>
      <c r="AO17" s="265">
        <f>AO19+AO31+AO38+AO44</f>
        <v>0</v>
      </c>
      <c r="AP17" s="265">
        <f>AP19+AP31+AP38+AP44</f>
        <v>0</v>
      </c>
      <c r="AQ17" s="270" t="e">
        <f>AP17/AO17</f>
        <v>#DIV/0!</v>
      </c>
      <c r="AR17" s="265">
        <f>AR19+AR31+AR38+AR44</f>
        <v>0</v>
      </c>
      <c r="AS17" s="265">
        <f>AS19+AS31+AS38+AS44</f>
        <v>0</v>
      </c>
      <c r="AT17" s="265" t="e">
        <f>AS17/AR17</f>
        <v>#DIV/0!</v>
      </c>
      <c r="AU17" s="265">
        <f>AU19+AU31+AU38+AU44</f>
        <v>0</v>
      </c>
      <c r="AV17" s="265">
        <f>AV19+AV31+AV38+AV44</f>
        <v>0</v>
      </c>
      <c r="AW17" s="265" t="e">
        <f>AV17/AU17</f>
        <v>#DIV/0!</v>
      </c>
      <c r="AX17" s="265">
        <f>AX19+AX31+AX38+AX44</f>
        <v>0</v>
      </c>
      <c r="AY17" s="266">
        <f>AY19+AY31+AY38+AY44</f>
        <v>0</v>
      </c>
      <c r="AZ17" s="266" t="e">
        <f>AY17/AX17</f>
        <v>#DIV/0!</v>
      </c>
      <c r="BA17" s="265">
        <f>BA19+BA31+BA38+BA44</f>
        <v>0</v>
      </c>
      <c r="BB17" s="265">
        <f>BB19+BB31+BB38+BB44</f>
        <v>0</v>
      </c>
      <c r="BC17" s="270" t="e">
        <f>BB17/BA17</f>
        <v>#DIV/0!</v>
      </c>
      <c r="BD17" s="266">
        <f>BD19+BD31+BD38+BD44</f>
        <v>6365924.36</v>
      </c>
      <c r="BE17" s="269">
        <f>BD17/G17</f>
        <v>0.15402117905895812</v>
      </c>
      <c r="BF17" s="268">
        <f>BF19+BF31+BF38+BF44</f>
        <v>34965562.64</v>
      </c>
    </row>
    <row r="18" spans="1:58" ht="13.5" thickBot="1">
      <c r="A18" s="272"/>
      <c r="B18" s="273"/>
      <c r="C18" s="273"/>
      <c r="D18" s="273"/>
      <c r="E18" s="400"/>
      <c r="F18" s="165"/>
      <c r="G18" s="274"/>
      <c r="H18" s="274"/>
      <c r="I18" s="275"/>
      <c r="J18" s="276"/>
      <c r="K18" s="277"/>
      <c r="L18" s="278"/>
      <c r="M18" s="279"/>
      <c r="N18" s="278"/>
      <c r="O18" s="278"/>
      <c r="P18" s="279"/>
      <c r="Q18" s="280">
        <f>H18+K18+N18</f>
        <v>0</v>
      </c>
      <c r="R18" s="169"/>
      <c r="S18" s="281"/>
      <c r="T18" s="274"/>
      <c r="U18" s="275"/>
      <c r="V18" s="279"/>
      <c r="W18" s="274"/>
      <c r="X18" s="275"/>
      <c r="Y18" s="279"/>
      <c r="Z18" s="274"/>
      <c r="AA18" s="275"/>
      <c r="AB18" s="279"/>
      <c r="AC18" s="169"/>
      <c r="AD18" s="169"/>
      <c r="AE18" s="281"/>
      <c r="AF18" s="274"/>
      <c r="AG18" s="275"/>
      <c r="AH18" s="282"/>
      <c r="AI18" s="274"/>
      <c r="AJ18" s="275"/>
      <c r="AK18" s="283"/>
      <c r="AL18" s="169"/>
      <c r="AM18" s="169"/>
      <c r="AN18" s="274"/>
      <c r="AO18" s="278"/>
      <c r="AP18" s="278"/>
      <c r="AQ18" s="281"/>
      <c r="AR18" s="278"/>
      <c r="AS18" s="278"/>
      <c r="AT18" s="274"/>
      <c r="AU18" s="278"/>
      <c r="AV18" s="278"/>
      <c r="AW18" s="274"/>
      <c r="AX18" s="278"/>
      <c r="AY18" s="275"/>
      <c r="AZ18" s="283"/>
      <c r="BA18" s="169"/>
      <c r="BB18" s="169"/>
      <c r="BC18" s="281"/>
      <c r="BD18" s="283"/>
      <c r="BE18" s="284"/>
      <c r="BF18" s="285"/>
    </row>
    <row r="19" spans="1:58" ht="13.5" thickBot="1">
      <c r="A19" s="286">
        <v>2</v>
      </c>
      <c r="B19" s="231">
        <v>1</v>
      </c>
      <c r="C19" s="231">
        <v>1</v>
      </c>
      <c r="D19" s="231"/>
      <c r="E19" s="401"/>
      <c r="F19" s="155" t="s">
        <v>57</v>
      </c>
      <c r="G19" s="287">
        <f>G20+G22+G28+G29</f>
        <v>32422292</v>
      </c>
      <c r="H19" s="287">
        <f>H20+H22+H28+H29</f>
        <v>0</v>
      </c>
      <c r="I19" s="288">
        <f>I20+I22+I28+I29</f>
        <v>1779483.12</v>
      </c>
      <c r="J19" s="289" t="e">
        <f aca="true" t="shared" si="0" ref="J19:J81">I19/H19</f>
        <v>#DIV/0!</v>
      </c>
      <c r="K19" s="290">
        <f aca="true" t="shared" si="1" ref="K19:R19">K20+K22+K28+K29</f>
        <v>0</v>
      </c>
      <c r="L19" s="287">
        <f t="shared" si="1"/>
        <v>1759483.12</v>
      </c>
      <c r="M19" s="291" t="e">
        <f aca="true" t="shared" si="2" ref="M19:M81">L19/K19</f>
        <v>#DIV/0!</v>
      </c>
      <c r="N19" s="287">
        <f t="shared" si="1"/>
        <v>0</v>
      </c>
      <c r="O19" s="287">
        <f t="shared" si="1"/>
        <v>1759483.12</v>
      </c>
      <c r="P19" s="291" t="e">
        <f aca="true" t="shared" si="3" ref="P19:P81">O19/N19</f>
        <v>#DIV/0!</v>
      </c>
      <c r="Q19" s="287">
        <f>Q20+Q22+Q28+Q29</f>
        <v>0</v>
      </c>
      <c r="R19" s="287">
        <f t="shared" si="1"/>
        <v>5298449.36</v>
      </c>
      <c r="S19" s="292" t="e">
        <f>R19/Q19</f>
        <v>#DIV/0!</v>
      </c>
      <c r="T19" s="287">
        <f>T20+T22+T28+T29</f>
        <v>0</v>
      </c>
      <c r="U19" s="288">
        <f>U20+U22+U28+U29</f>
        <v>0</v>
      </c>
      <c r="V19" s="291" t="e">
        <f aca="true" t="shared" si="4" ref="V19:V81">U19/T19</f>
        <v>#DIV/0!</v>
      </c>
      <c r="W19" s="287">
        <f>W20+W22+W28+W29</f>
        <v>0</v>
      </c>
      <c r="X19" s="288">
        <f>X20+X22+X28+X29</f>
        <v>0</v>
      </c>
      <c r="Y19" s="291" t="e">
        <f aca="true" t="shared" si="5" ref="Y19:Y81">X19/W19</f>
        <v>#DIV/0!</v>
      </c>
      <c r="Z19" s="287">
        <f>Z20+Z22+Z28+Z29</f>
        <v>0</v>
      </c>
      <c r="AA19" s="288">
        <f>AA20+AA22+AA28+AA29</f>
        <v>0</v>
      </c>
      <c r="AB19" s="291" t="e">
        <f aca="true" t="shared" si="6" ref="AB19:AB81">AA19/Z19</f>
        <v>#DIV/0!</v>
      </c>
      <c r="AC19" s="287">
        <f>AC20+AC22+AC28+AC29</f>
        <v>0</v>
      </c>
      <c r="AD19" s="287">
        <f>AD20+AD22+AD28+AD29</f>
        <v>0</v>
      </c>
      <c r="AE19" s="292" t="e">
        <f aca="true" t="shared" si="7" ref="AE19:AE29">AD19/AC19</f>
        <v>#DIV/0!</v>
      </c>
      <c r="AF19" s="287">
        <f>AF20+AF22+AF28+AF29</f>
        <v>0</v>
      </c>
      <c r="AG19" s="288">
        <f>AG20+AG22+AG28+AG29</f>
        <v>0</v>
      </c>
      <c r="AH19" s="293" t="e">
        <f aca="true" t="shared" si="8" ref="AH19:AH81">AG19/AF19</f>
        <v>#DIV/0!</v>
      </c>
      <c r="AI19" s="287">
        <f>AI20+AI22+AI28+AI29</f>
        <v>0</v>
      </c>
      <c r="AJ19" s="288">
        <f>AJ20+AJ22+AJ28+AJ29</f>
        <v>0</v>
      </c>
      <c r="AK19" s="294" t="e">
        <f aca="true" t="shared" si="9" ref="AK19:AK81">AJ19/AI19</f>
        <v>#DIV/0!</v>
      </c>
      <c r="AL19" s="287">
        <f>AL20+AL22+AL28+AL29</f>
        <v>0</v>
      </c>
      <c r="AM19" s="287">
        <f>AM20+AM22+AM28+AM29</f>
        <v>0</v>
      </c>
      <c r="AN19" s="295" t="e">
        <f aca="true" t="shared" si="10" ref="AN19:AN81">AM19/AL19</f>
        <v>#DIV/0!</v>
      </c>
      <c r="AO19" s="287">
        <f>AO20+AO22+AO28+AO29</f>
        <v>0</v>
      </c>
      <c r="AP19" s="287">
        <f>AP20+AP22+AP28+AP29</f>
        <v>0</v>
      </c>
      <c r="AQ19" s="292" t="e">
        <f aca="true" t="shared" si="11" ref="AQ19:AQ29">AP19/AO19</f>
        <v>#DIV/0!</v>
      </c>
      <c r="AR19" s="287">
        <f>AR20+AR22+AR28+AR29</f>
        <v>0</v>
      </c>
      <c r="AS19" s="287">
        <f aca="true" t="shared" si="12" ref="AS19:AX19">AS20+AS22+AS28+AS29</f>
        <v>0</v>
      </c>
      <c r="AT19" s="295" t="e">
        <f aca="true" t="shared" si="13" ref="AT19:AT81">AS19/AR19</f>
        <v>#DIV/0!</v>
      </c>
      <c r="AU19" s="287">
        <f t="shared" si="12"/>
        <v>0</v>
      </c>
      <c r="AV19" s="287">
        <f t="shared" si="12"/>
        <v>0</v>
      </c>
      <c r="AW19" s="295" t="e">
        <f aca="true" t="shared" si="14" ref="AW19:AW81">AV19/AU19</f>
        <v>#DIV/0!</v>
      </c>
      <c r="AX19" s="287">
        <f t="shared" si="12"/>
        <v>0</v>
      </c>
      <c r="AY19" s="288">
        <f>AY20+AY22+AY28+AY29</f>
        <v>0</v>
      </c>
      <c r="AZ19" s="294" t="e">
        <f aca="true" t="shared" si="15" ref="AZ19:AZ81">AY19/AX19</f>
        <v>#DIV/0!</v>
      </c>
      <c r="BA19" s="287">
        <f>BA20+BA22+BA28+BA29</f>
        <v>0</v>
      </c>
      <c r="BB19" s="287">
        <f>BB20+BB22+BB28+BB29</f>
        <v>0</v>
      </c>
      <c r="BC19" s="292" t="e">
        <f aca="true" t="shared" si="16" ref="BC19:BC29">BB19/BA19</f>
        <v>#DIV/0!</v>
      </c>
      <c r="BD19" s="288">
        <f>BD20+BD22+BD28+BD29</f>
        <v>5298449.36</v>
      </c>
      <c r="BE19" s="296">
        <f aca="true" t="shared" si="17" ref="BE19:BE81">BD19/G19</f>
        <v>0.16341995069318357</v>
      </c>
      <c r="BF19" s="290">
        <f>BF20+BF22+BF28+BF29</f>
        <v>27123842.64</v>
      </c>
    </row>
    <row r="20" spans="1:58" ht="13.5" thickBot="1">
      <c r="A20" s="286">
        <v>2</v>
      </c>
      <c r="B20" s="231">
        <v>1</v>
      </c>
      <c r="C20" s="231">
        <v>1</v>
      </c>
      <c r="D20" s="231">
        <v>1</v>
      </c>
      <c r="E20" s="401"/>
      <c r="F20" s="155" t="s">
        <v>58</v>
      </c>
      <c r="G20" s="287">
        <f>G21</f>
        <v>24853477</v>
      </c>
      <c r="H20" s="287">
        <f>H21</f>
        <v>0</v>
      </c>
      <c r="I20" s="288">
        <f>I21</f>
        <v>1586123.12</v>
      </c>
      <c r="J20" s="289" t="e">
        <f t="shared" si="0"/>
        <v>#DIV/0!</v>
      </c>
      <c r="K20" s="290">
        <f aca="true" t="shared" si="18" ref="K20:R20">K21</f>
        <v>0</v>
      </c>
      <c r="L20" s="287">
        <f t="shared" si="18"/>
        <v>1586123.12</v>
      </c>
      <c r="M20" s="291" t="e">
        <f t="shared" si="2"/>
        <v>#DIV/0!</v>
      </c>
      <c r="N20" s="287">
        <f t="shared" si="18"/>
        <v>0</v>
      </c>
      <c r="O20" s="287">
        <f t="shared" si="18"/>
        <v>1586123.12</v>
      </c>
      <c r="P20" s="291" t="e">
        <f t="shared" si="3"/>
        <v>#DIV/0!</v>
      </c>
      <c r="Q20" s="287">
        <f>Q21</f>
        <v>0</v>
      </c>
      <c r="R20" s="287">
        <f t="shared" si="18"/>
        <v>4758369.36</v>
      </c>
      <c r="S20" s="292" t="e">
        <f>R20/Q20</f>
        <v>#DIV/0!</v>
      </c>
      <c r="T20" s="287">
        <f>T21</f>
        <v>0</v>
      </c>
      <c r="U20" s="288">
        <f>U21</f>
        <v>0</v>
      </c>
      <c r="V20" s="291" t="e">
        <f t="shared" si="4"/>
        <v>#DIV/0!</v>
      </c>
      <c r="W20" s="287">
        <f>W21</f>
        <v>0</v>
      </c>
      <c r="X20" s="288">
        <f>X21</f>
        <v>0</v>
      </c>
      <c r="Y20" s="291" t="e">
        <f t="shared" si="5"/>
        <v>#DIV/0!</v>
      </c>
      <c r="Z20" s="287">
        <f>Z21</f>
        <v>0</v>
      </c>
      <c r="AA20" s="288">
        <f>AA21</f>
        <v>0</v>
      </c>
      <c r="AB20" s="291" t="e">
        <f t="shared" si="6"/>
        <v>#DIV/0!</v>
      </c>
      <c r="AC20" s="287">
        <f>AC21</f>
        <v>0</v>
      </c>
      <c r="AD20" s="287">
        <f>AD21</f>
        <v>0</v>
      </c>
      <c r="AE20" s="292" t="e">
        <f t="shared" si="7"/>
        <v>#DIV/0!</v>
      </c>
      <c r="AF20" s="287">
        <f>AF21</f>
        <v>0</v>
      </c>
      <c r="AG20" s="288">
        <f>AG21</f>
        <v>0</v>
      </c>
      <c r="AH20" s="293" t="e">
        <f t="shared" si="8"/>
        <v>#DIV/0!</v>
      </c>
      <c r="AI20" s="287">
        <f>AI21</f>
        <v>0</v>
      </c>
      <c r="AJ20" s="288">
        <f>AJ21</f>
        <v>0</v>
      </c>
      <c r="AK20" s="294" t="e">
        <f t="shared" si="9"/>
        <v>#DIV/0!</v>
      </c>
      <c r="AL20" s="287">
        <f>AL21</f>
        <v>0</v>
      </c>
      <c r="AM20" s="287">
        <f>AM21</f>
        <v>0</v>
      </c>
      <c r="AN20" s="295" t="e">
        <f t="shared" si="10"/>
        <v>#DIV/0!</v>
      </c>
      <c r="AO20" s="287">
        <f>AO21</f>
        <v>0</v>
      </c>
      <c r="AP20" s="287">
        <f>AP21</f>
        <v>0</v>
      </c>
      <c r="AQ20" s="292" t="e">
        <f t="shared" si="11"/>
        <v>#DIV/0!</v>
      </c>
      <c r="AR20" s="287">
        <f aca="true" t="shared" si="19" ref="AR20:AY20">AR21</f>
        <v>0</v>
      </c>
      <c r="AS20" s="287">
        <f t="shared" si="19"/>
        <v>0</v>
      </c>
      <c r="AT20" s="295" t="e">
        <f t="shared" si="13"/>
        <v>#DIV/0!</v>
      </c>
      <c r="AU20" s="287">
        <f t="shared" si="19"/>
        <v>0</v>
      </c>
      <c r="AV20" s="287">
        <f t="shared" si="19"/>
        <v>0</v>
      </c>
      <c r="AW20" s="295" t="e">
        <f t="shared" si="14"/>
        <v>#DIV/0!</v>
      </c>
      <c r="AX20" s="287">
        <f t="shared" si="19"/>
        <v>0</v>
      </c>
      <c r="AY20" s="288">
        <f t="shared" si="19"/>
        <v>0</v>
      </c>
      <c r="AZ20" s="294" t="e">
        <f t="shared" si="15"/>
        <v>#DIV/0!</v>
      </c>
      <c r="BA20" s="287">
        <f>BA21</f>
        <v>0</v>
      </c>
      <c r="BB20" s="287">
        <f>BB21</f>
        <v>0</v>
      </c>
      <c r="BC20" s="292" t="e">
        <f t="shared" si="16"/>
        <v>#DIV/0!</v>
      </c>
      <c r="BD20" s="288">
        <f>BD21</f>
        <v>4758369.36</v>
      </c>
      <c r="BE20" s="296">
        <f t="shared" si="17"/>
        <v>0.1914568879034511</v>
      </c>
      <c r="BF20" s="297">
        <f>BF21</f>
        <v>20095107.64</v>
      </c>
    </row>
    <row r="21" spans="1:58" ht="13.5" thickBot="1">
      <c r="A21" s="298">
        <v>2</v>
      </c>
      <c r="B21" s="299">
        <v>1</v>
      </c>
      <c r="C21" s="299">
        <v>1</v>
      </c>
      <c r="D21" s="299">
        <v>1</v>
      </c>
      <c r="E21" s="402" t="s">
        <v>149</v>
      </c>
      <c r="F21" s="90" t="s">
        <v>0</v>
      </c>
      <c r="G21" s="300">
        <f>21013477+3840000</f>
        <v>24853477</v>
      </c>
      <c r="H21" s="300"/>
      <c r="I21" s="300">
        <v>1586123.12</v>
      </c>
      <c r="J21" s="301" t="e">
        <f t="shared" si="0"/>
        <v>#DIV/0!</v>
      </c>
      <c r="K21" s="302"/>
      <c r="L21" s="300">
        <v>1586123.12</v>
      </c>
      <c r="M21" s="303" t="e">
        <f t="shared" si="2"/>
        <v>#DIV/0!</v>
      </c>
      <c r="N21" s="300"/>
      <c r="O21" s="300">
        <v>1586123.12</v>
      </c>
      <c r="P21" s="303" t="e">
        <f t="shared" si="3"/>
        <v>#DIV/0!</v>
      </c>
      <c r="Q21" s="280">
        <f>H21+K21+N21</f>
        <v>0</v>
      </c>
      <c r="R21" s="280">
        <f>I21+L21+O21</f>
        <v>4758369.36</v>
      </c>
      <c r="S21" s="292" t="e">
        <f>R21/Q21</f>
        <v>#DIV/0!</v>
      </c>
      <c r="T21" s="300"/>
      <c r="U21" s="304"/>
      <c r="V21" s="303" t="e">
        <f t="shared" si="4"/>
        <v>#DIV/0!</v>
      </c>
      <c r="W21" s="300"/>
      <c r="X21" s="304"/>
      <c r="Y21" s="303" t="e">
        <f t="shared" si="5"/>
        <v>#DIV/0!</v>
      </c>
      <c r="Z21" s="300"/>
      <c r="AA21" s="304"/>
      <c r="AB21" s="303" t="e">
        <f t="shared" si="6"/>
        <v>#DIV/0!</v>
      </c>
      <c r="AC21" s="280">
        <f>T21+W21+Z21</f>
        <v>0</v>
      </c>
      <c r="AD21" s="280">
        <f>U21+X21+AA21</f>
        <v>0</v>
      </c>
      <c r="AE21" s="292" t="e">
        <f t="shared" si="7"/>
        <v>#DIV/0!</v>
      </c>
      <c r="AF21" s="300"/>
      <c r="AG21" s="304"/>
      <c r="AH21" s="305" t="e">
        <f t="shared" si="8"/>
        <v>#DIV/0!</v>
      </c>
      <c r="AI21" s="300"/>
      <c r="AJ21" s="304"/>
      <c r="AK21" s="306" t="e">
        <f t="shared" si="9"/>
        <v>#DIV/0!</v>
      </c>
      <c r="AL21" s="300"/>
      <c r="AM21" s="300"/>
      <c r="AN21" s="307" t="e">
        <f t="shared" si="10"/>
        <v>#DIV/0!</v>
      </c>
      <c r="AO21" s="300"/>
      <c r="AP21" s="300">
        <f>AG21+AJ21+AM21</f>
        <v>0</v>
      </c>
      <c r="AQ21" s="292" t="e">
        <f t="shared" si="11"/>
        <v>#DIV/0!</v>
      </c>
      <c r="AR21" s="300"/>
      <c r="AS21" s="300"/>
      <c r="AT21" s="307" t="e">
        <f t="shared" si="13"/>
        <v>#DIV/0!</v>
      </c>
      <c r="AU21" s="300"/>
      <c r="AV21" s="300"/>
      <c r="AW21" s="307" t="e">
        <f t="shared" si="14"/>
        <v>#DIV/0!</v>
      </c>
      <c r="AX21" s="300"/>
      <c r="AY21" s="304"/>
      <c r="AZ21" s="294" t="e">
        <f t="shared" si="15"/>
        <v>#DIV/0!</v>
      </c>
      <c r="BA21" s="280">
        <f>AR21+AU21+AX21</f>
        <v>0</v>
      </c>
      <c r="BB21" s="280">
        <f>AS21+AV21+AY21</f>
        <v>0</v>
      </c>
      <c r="BC21" s="292" t="e">
        <f t="shared" si="16"/>
        <v>#DIV/0!</v>
      </c>
      <c r="BD21" s="304">
        <f>I21+L21+O21+U21+X21+AA21+AG21+AJ21+AM21+AS21+AV21+AY21</f>
        <v>4758369.36</v>
      </c>
      <c r="BE21" s="296">
        <f t="shared" si="17"/>
        <v>0.1914568879034511</v>
      </c>
      <c r="BF21" s="308">
        <f>G21-(I21+L21+O21+U21+X21+AA21+AG21+AJ21+AM21+AS21+AV21+AY21)</f>
        <v>20095107.64</v>
      </c>
    </row>
    <row r="22" spans="1:58" ht="22.5" thickBot="1">
      <c r="A22" s="286">
        <v>2</v>
      </c>
      <c r="B22" s="231">
        <v>1</v>
      </c>
      <c r="C22" s="231">
        <v>1</v>
      </c>
      <c r="D22" s="231">
        <v>2</v>
      </c>
      <c r="E22" s="401"/>
      <c r="F22" s="156" t="s">
        <v>18</v>
      </c>
      <c r="G22" s="287">
        <f>G23+G24+G25+G26+G27</f>
        <v>3102800</v>
      </c>
      <c r="H22" s="287">
        <f>H23+H24+H25+H26+H27</f>
        <v>0</v>
      </c>
      <c r="I22" s="288">
        <f>I23+I24+I25+I26+I27</f>
        <v>193360</v>
      </c>
      <c r="J22" s="289" t="e">
        <f t="shared" si="0"/>
        <v>#DIV/0!</v>
      </c>
      <c r="K22" s="290">
        <f>K23+K24+K25+K26+K27</f>
        <v>0</v>
      </c>
      <c r="L22" s="287">
        <f>L23+L24+L25+L26+L27</f>
        <v>173360</v>
      </c>
      <c r="M22" s="291" t="e">
        <f t="shared" si="2"/>
        <v>#DIV/0!</v>
      </c>
      <c r="N22" s="287">
        <f>N23+N24+N25+N26+N27</f>
        <v>0</v>
      </c>
      <c r="O22" s="287">
        <f>O23+O24+O25+O26+O27</f>
        <v>173360</v>
      </c>
      <c r="P22" s="291" t="e">
        <f t="shared" si="3"/>
        <v>#DIV/0!</v>
      </c>
      <c r="Q22" s="287">
        <f>Q23+Q24+Q25+Q26+Q27</f>
        <v>0</v>
      </c>
      <c r="R22" s="287">
        <f>R23+R24+R25+R26+R27</f>
        <v>540080</v>
      </c>
      <c r="S22" s="292" t="e">
        <f aca="true" t="shared" si="20" ref="S22:S86">R22/Q22</f>
        <v>#DIV/0!</v>
      </c>
      <c r="T22" s="287">
        <f>T23+T24+T25+T26+T27</f>
        <v>0</v>
      </c>
      <c r="U22" s="288">
        <f>U23+U24+U25+U26+U27</f>
        <v>0</v>
      </c>
      <c r="V22" s="291" t="e">
        <f t="shared" si="4"/>
        <v>#DIV/0!</v>
      </c>
      <c r="W22" s="287">
        <f>W23+W24+W25+W26+W27</f>
        <v>0</v>
      </c>
      <c r="X22" s="288">
        <f>X23+X24+X25+X26+X27</f>
        <v>0</v>
      </c>
      <c r="Y22" s="291" t="e">
        <f t="shared" si="5"/>
        <v>#DIV/0!</v>
      </c>
      <c r="Z22" s="287">
        <f>Z23+Z24+Z25+Z26+Z27</f>
        <v>0</v>
      </c>
      <c r="AA22" s="288">
        <f>AA23+AA24+AA25+AA26+AA27</f>
        <v>0</v>
      </c>
      <c r="AB22" s="291" t="e">
        <f t="shared" si="6"/>
        <v>#DIV/0!</v>
      </c>
      <c r="AC22" s="287">
        <f>AC23+AC24+AC25+AC26+AC27</f>
        <v>0</v>
      </c>
      <c r="AD22" s="287">
        <f>AD23+AD24+AD25+AD26+AD27</f>
        <v>0</v>
      </c>
      <c r="AE22" s="292" t="e">
        <f t="shared" si="7"/>
        <v>#DIV/0!</v>
      </c>
      <c r="AF22" s="287">
        <f>AF23+AF24+AF25+AF26+AF27</f>
        <v>0</v>
      </c>
      <c r="AG22" s="288">
        <f>AG23+AG24+AG25+AG26+AG27</f>
        <v>0</v>
      </c>
      <c r="AH22" s="293" t="e">
        <f t="shared" si="8"/>
        <v>#DIV/0!</v>
      </c>
      <c r="AI22" s="287">
        <f>AI23+AI24+AI25+AI26+AI27</f>
        <v>0</v>
      </c>
      <c r="AJ22" s="288">
        <f>AJ23+AJ24+AJ25+AJ26+AJ27</f>
        <v>0</v>
      </c>
      <c r="AK22" s="294" t="e">
        <f t="shared" si="9"/>
        <v>#DIV/0!</v>
      </c>
      <c r="AL22" s="287">
        <f>AL23+AL24+AL25+AL26+AL27</f>
        <v>0</v>
      </c>
      <c r="AM22" s="287">
        <f>AM23+AM24+AM25+AM26+AM27</f>
        <v>0</v>
      </c>
      <c r="AN22" s="295" t="e">
        <f t="shared" si="10"/>
        <v>#DIV/0!</v>
      </c>
      <c r="AO22" s="287">
        <f>AO23+AO24+AO25+AO26+AO27</f>
        <v>0</v>
      </c>
      <c r="AP22" s="287">
        <f>AP23+AP24+AP25+AP26+AP27</f>
        <v>0</v>
      </c>
      <c r="AQ22" s="292" t="e">
        <f t="shared" si="11"/>
        <v>#DIV/0!</v>
      </c>
      <c r="AR22" s="287"/>
      <c r="AS22" s="287">
        <f>AS23+AS24+AS25+AS26+AS27</f>
        <v>0</v>
      </c>
      <c r="AT22" s="295" t="e">
        <f t="shared" si="13"/>
        <v>#DIV/0!</v>
      </c>
      <c r="AU22" s="287">
        <f>AU23+AU24+AU25+AU26+AU27</f>
        <v>0</v>
      </c>
      <c r="AV22" s="287">
        <f>AV23+AV24+AV25+AV26+AV27</f>
        <v>0</v>
      </c>
      <c r="AW22" s="295" t="e">
        <f t="shared" si="14"/>
        <v>#DIV/0!</v>
      </c>
      <c r="AX22" s="287">
        <f>AX23+AX24+AX25+AX26+AX27</f>
        <v>0</v>
      </c>
      <c r="AY22" s="288">
        <f>AY23+AY24+AY25+AY26+AY27</f>
        <v>0</v>
      </c>
      <c r="AZ22" s="294" t="e">
        <f t="shared" si="15"/>
        <v>#DIV/0!</v>
      </c>
      <c r="BA22" s="287">
        <f>BA23+BA24+BA25+BA26+BA27</f>
        <v>0</v>
      </c>
      <c r="BB22" s="287">
        <f>BB23+BB24+BB25+BB26+BB27</f>
        <v>0</v>
      </c>
      <c r="BC22" s="292" t="e">
        <f t="shared" si="16"/>
        <v>#DIV/0!</v>
      </c>
      <c r="BD22" s="288">
        <f>BD23+BD24+BD25+BD26+BD27</f>
        <v>540080</v>
      </c>
      <c r="BE22" s="296">
        <f>BD22/G22</f>
        <v>0.17406213742426196</v>
      </c>
      <c r="BF22" s="297">
        <f aca="true" t="shared" si="21" ref="BF22:BF85">G22-(I22+L22+O22+U22+X22+AA22+AG22+AJ22+AM22+AS22+AV22+AY22)</f>
        <v>2562720</v>
      </c>
    </row>
    <row r="23" spans="1:58" ht="13.5" thickBot="1">
      <c r="A23" s="298">
        <v>2</v>
      </c>
      <c r="B23" s="299">
        <v>1</v>
      </c>
      <c r="C23" s="299">
        <v>1</v>
      </c>
      <c r="D23" s="299">
        <v>2</v>
      </c>
      <c r="E23" s="402" t="s">
        <v>149</v>
      </c>
      <c r="F23" s="153" t="s">
        <v>21</v>
      </c>
      <c r="G23" s="300">
        <v>2400000</v>
      </c>
      <c r="H23" s="300"/>
      <c r="I23" s="304">
        <v>168360</v>
      </c>
      <c r="J23" s="301" t="e">
        <f t="shared" si="0"/>
        <v>#DIV/0!</v>
      </c>
      <c r="K23" s="302"/>
      <c r="L23" s="300">
        <v>148360</v>
      </c>
      <c r="M23" s="303" t="e">
        <f t="shared" si="2"/>
        <v>#DIV/0!</v>
      </c>
      <c r="N23" s="300"/>
      <c r="O23" s="300">
        <v>148360</v>
      </c>
      <c r="P23" s="303" t="e">
        <f t="shared" si="3"/>
        <v>#DIV/0!</v>
      </c>
      <c r="Q23" s="280">
        <f>N23+K23+H23</f>
        <v>0</v>
      </c>
      <c r="R23" s="280">
        <f>O23+L23+I23</f>
        <v>465080</v>
      </c>
      <c r="S23" s="292" t="e">
        <f t="shared" si="20"/>
        <v>#DIV/0!</v>
      </c>
      <c r="T23" s="300"/>
      <c r="U23" s="304"/>
      <c r="V23" s="303" t="e">
        <f t="shared" si="4"/>
        <v>#DIV/0!</v>
      </c>
      <c r="W23" s="300"/>
      <c r="X23" s="304"/>
      <c r="Y23" s="303" t="e">
        <f t="shared" si="5"/>
        <v>#DIV/0!</v>
      </c>
      <c r="Z23" s="300"/>
      <c r="AA23" s="304"/>
      <c r="AB23" s="303" t="e">
        <f t="shared" si="6"/>
        <v>#DIV/0!</v>
      </c>
      <c r="AC23" s="280">
        <f>Z23+W23+T23</f>
        <v>0</v>
      </c>
      <c r="AD23" s="280">
        <f>AA23+X23+U23</f>
        <v>0</v>
      </c>
      <c r="AE23" s="292" t="e">
        <f t="shared" si="7"/>
        <v>#DIV/0!</v>
      </c>
      <c r="AF23" s="300"/>
      <c r="AG23" s="304"/>
      <c r="AH23" s="305" t="e">
        <f t="shared" si="8"/>
        <v>#DIV/0!</v>
      </c>
      <c r="AI23" s="300"/>
      <c r="AJ23" s="304"/>
      <c r="AK23" s="306" t="e">
        <f t="shared" si="9"/>
        <v>#DIV/0!</v>
      </c>
      <c r="AL23" s="90"/>
      <c r="AM23" s="90"/>
      <c r="AN23" s="307" t="e">
        <f t="shared" si="10"/>
        <v>#DIV/0!</v>
      </c>
      <c r="AO23" s="300">
        <f aca="true" t="shared" si="22" ref="AO23:AP29">AL23+AI23+AF23</f>
        <v>0</v>
      </c>
      <c r="AP23" s="300">
        <f t="shared" si="22"/>
        <v>0</v>
      </c>
      <c r="AQ23" s="292" t="e">
        <f t="shared" si="11"/>
        <v>#DIV/0!</v>
      </c>
      <c r="AR23" s="300"/>
      <c r="AS23" s="300"/>
      <c r="AT23" s="307" t="e">
        <f t="shared" si="13"/>
        <v>#DIV/0!</v>
      </c>
      <c r="AU23" s="300"/>
      <c r="AV23" s="300"/>
      <c r="AW23" s="307" t="e">
        <f t="shared" si="14"/>
        <v>#DIV/0!</v>
      </c>
      <c r="AX23" s="300"/>
      <c r="AY23" s="304"/>
      <c r="AZ23" s="294" t="e">
        <f t="shared" si="15"/>
        <v>#DIV/0!</v>
      </c>
      <c r="BA23" s="280">
        <f aca="true" t="shared" si="23" ref="BA23:BB29">AX23+AU23+AR23</f>
        <v>0</v>
      </c>
      <c r="BB23" s="280">
        <f t="shared" si="23"/>
        <v>0</v>
      </c>
      <c r="BC23" s="292" t="e">
        <f t="shared" si="16"/>
        <v>#DIV/0!</v>
      </c>
      <c r="BD23" s="304">
        <f aca="true" t="shared" si="24" ref="BD23:BD29">I23+L23+O23+U23+X23+AA23+AG23+AJ23+AM23+AS23+AV23+AY23</f>
        <v>465080</v>
      </c>
      <c r="BE23" s="296">
        <f t="shared" si="17"/>
        <v>0.19378333333333334</v>
      </c>
      <c r="BF23" s="308">
        <f t="shared" si="21"/>
        <v>1934920</v>
      </c>
    </row>
    <row r="24" spans="1:58" ht="19.5" thickBot="1">
      <c r="A24" s="298">
        <v>2</v>
      </c>
      <c r="B24" s="299">
        <v>1</v>
      </c>
      <c r="C24" s="299">
        <v>1</v>
      </c>
      <c r="D24" s="299">
        <v>2</v>
      </c>
      <c r="E24" s="402" t="s">
        <v>150</v>
      </c>
      <c r="F24" s="153" t="s">
        <v>10</v>
      </c>
      <c r="G24" s="300">
        <v>527800</v>
      </c>
      <c r="H24" s="300"/>
      <c r="I24" s="304"/>
      <c r="J24" s="301" t="e">
        <f t="shared" si="0"/>
        <v>#DIV/0!</v>
      </c>
      <c r="K24" s="302"/>
      <c r="L24" s="300"/>
      <c r="M24" s="303" t="e">
        <f t="shared" si="2"/>
        <v>#DIV/0!</v>
      </c>
      <c r="N24" s="300"/>
      <c r="O24" s="300"/>
      <c r="P24" s="303" t="e">
        <f t="shared" si="3"/>
        <v>#DIV/0!</v>
      </c>
      <c r="Q24" s="280">
        <f aca="true" t="shared" si="25" ref="Q24:R29">N24+K24+H24</f>
        <v>0</v>
      </c>
      <c r="R24" s="280">
        <f t="shared" si="25"/>
        <v>0</v>
      </c>
      <c r="S24" s="292" t="e">
        <f>R24/Q24</f>
        <v>#DIV/0!</v>
      </c>
      <c r="T24" s="300"/>
      <c r="U24" s="304"/>
      <c r="V24" s="303" t="e">
        <f t="shared" si="4"/>
        <v>#DIV/0!</v>
      </c>
      <c r="W24" s="300"/>
      <c r="X24" s="304"/>
      <c r="Y24" s="303" t="e">
        <f t="shared" si="5"/>
        <v>#DIV/0!</v>
      </c>
      <c r="Z24" s="300"/>
      <c r="AA24" s="304"/>
      <c r="AB24" s="303" t="e">
        <f t="shared" si="6"/>
        <v>#DIV/0!</v>
      </c>
      <c r="AC24" s="280">
        <f aca="true" t="shared" si="26" ref="AC24:AD29">Z24+W24+T24</f>
        <v>0</v>
      </c>
      <c r="AD24" s="280">
        <f t="shared" si="26"/>
        <v>0</v>
      </c>
      <c r="AE24" s="292" t="e">
        <f t="shared" si="7"/>
        <v>#DIV/0!</v>
      </c>
      <c r="AF24" s="300"/>
      <c r="AG24" s="304"/>
      <c r="AH24" s="305" t="e">
        <f t="shared" si="8"/>
        <v>#DIV/0!</v>
      </c>
      <c r="AI24" s="300"/>
      <c r="AJ24" s="304"/>
      <c r="AK24" s="306" t="e">
        <f t="shared" si="9"/>
        <v>#DIV/0!</v>
      </c>
      <c r="AL24" s="90"/>
      <c r="AM24" s="90"/>
      <c r="AN24" s="307" t="e">
        <f t="shared" si="10"/>
        <v>#DIV/0!</v>
      </c>
      <c r="AO24" s="300">
        <f t="shared" si="22"/>
        <v>0</v>
      </c>
      <c r="AP24" s="300">
        <f t="shared" si="22"/>
        <v>0</v>
      </c>
      <c r="AQ24" s="292" t="e">
        <f t="shared" si="11"/>
        <v>#DIV/0!</v>
      </c>
      <c r="AR24" s="300"/>
      <c r="AS24" s="300"/>
      <c r="AT24" s="307" t="e">
        <f t="shared" si="13"/>
        <v>#DIV/0!</v>
      </c>
      <c r="AU24" s="300"/>
      <c r="AV24" s="300"/>
      <c r="AW24" s="307" t="e">
        <f t="shared" si="14"/>
        <v>#DIV/0!</v>
      </c>
      <c r="AX24" s="300"/>
      <c r="AY24" s="304"/>
      <c r="AZ24" s="294" t="e">
        <f t="shared" si="15"/>
        <v>#DIV/0!</v>
      </c>
      <c r="BA24" s="280">
        <f t="shared" si="23"/>
        <v>0</v>
      </c>
      <c r="BB24" s="280">
        <f t="shared" si="23"/>
        <v>0</v>
      </c>
      <c r="BC24" s="292" t="e">
        <f t="shared" si="16"/>
        <v>#DIV/0!</v>
      </c>
      <c r="BD24" s="304">
        <f t="shared" si="24"/>
        <v>0</v>
      </c>
      <c r="BE24" s="296">
        <f t="shared" si="17"/>
        <v>0</v>
      </c>
      <c r="BF24" s="308">
        <f t="shared" si="21"/>
        <v>527800</v>
      </c>
    </row>
    <row r="25" spans="1:58" ht="19.5" thickBot="1">
      <c r="A25" s="298">
        <v>2</v>
      </c>
      <c r="B25" s="299">
        <v>1</v>
      </c>
      <c r="C25" s="299">
        <v>1</v>
      </c>
      <c r="D25" s="299">
        <v>2</v>
      </c>
      <c r="E25" s="402" t="s">
        <v>151</v>
      </c>
      <c r="F25" s="153" t="s">
        <v>20</v>
      </c>
      <c r="G25" s="300">
        <v>25000</v>
      </c>
      <c r="H25" s="300"/>
      <c r="I25" s="304"/>
      <c r="J25" s="301" t="e">
        <f t="shared" si="0"/>
        <v>#DIV/0!</v>
      </c>
      <c r="K25" s="302"/>
      <c r="L25" s="300"/>
      <c r="M25" s="303" t="e">
        <f t="shared" si="2"/>
        <v>#DIV/0!</v>
      </c>
      <c r="N25" s="300"/>
      <c r="O25" s="300"/>
      <c r="P25" s="303" t="e">
        <f t="shared" si="3"/>
        <v>#DIV/0!</v>
      </c>
      <c r="Q25" s="280">
        <f>N25+K25+H25</f>
        <v>0</v>
      </c>
      <c r="R25" s="280">
        <f t="shared" si="25"/>
        <v>0</v>
      </c>
      <c r="S25" s="292" t="e">
        <f t="shared" si="20"/>
        <v>#DIV/0!</v>
      </c>
      <c r="T25" s="300"/>
      <c r="U25" s="304"/>
      <c r="V25" s="303" t="e">
        <f t="shared" si="4"/>
        <v>#DIV/0!</v>
      </c>
      <c r="W25" s="300"/>
      <c r="X25" s="304"/>
      <c r="Y25" s="303" t="e">
        <f t="shared" si="5"/>
        <v>#DIV/0!</v>
      </c>
      <c r="Z25" s="300"/>
      <c r="AA25" s="304"/>
      <c r="AB25" s="303" t="e">
        <f t="shared" si="6"/>
        <v>#DIV/0!</v>
      </c>
      <c r="AC25" s="280">
        <f t="shared" si="26"/>
        <v>0</v>
      </c>
      <c r="AD25" s="280">
        <f t="shared" si="26"/>
        <v>0</v>
      </c>
      <c r="AE25" s="292" t="e">
        <f t="shared" si="7"/>
        <v>#DIV/0!</v>
      </c>
      <c r="AF25" s="300"/>
      <c r="AG25" s="304"/>
      <c r="AH25" s="305" t="e">
        <f t="shared" si="8"/>
        <v>#DIV/0!</v>
      </c>
      <c r="AI25" s="300"/>
      <c r="AJ25" s="304"/>
      <c r="AK25" s="306" t="e">
        <f t="shared" si="9"/>
        <v>#DIV/0!</v>
      </c>
      <c r="AL25" s="90"/>
      <c r="AM25" s="90"/>
      <c r="AN25" s="307" t="e">
        <f t="shared" si="10"/>
        <v>#DIV/0!</v>
      </c>
      <c r="AO25" s="300">
        <f t="shared" si="22"/>
        <v>0</v>
      </c>
      <c r="AP25" s="300">
        <f t="shared" si="22"/>
        <v>0</v>
      </c>
      <c r="AQ25" s="292" t="e">
        <f t="shared" si="11"/>
        <v>#DIV/0!</v>
      </c>
      <c r="AR25" s="300"/>
      <c r="AS25" s="300"/>
      <c r="AT25" s="307" t="e">
        <f t="shared" si="13"/>
        <v>#DIV/0!</v>
      </c>
      <c r="AU25" s="300"/>
      <c r="AV25" s="300"/>
      <c r="AW25" s="307" t="e">
        <f t="shared" si="14"/>
        <v>#DIV/0!</v>
      </c>
      <c r="AX25" s="300"/>
      <c r="AY25" s="304"/>
      <c r="AZ25" s="294" t="e">
        <f t="shared" si="15"/>
        <v>#DIV/0!</v>
      </c>
      <c r="BA25" s="280">
        <f t="shared" si="23"/>
        <v>0</v>
      </c>
      <c r="BB25" s="280">
        <f t="shared" si="23"/>
        <v>0</v>
      </c>
      <c r="BC25" s="292" t="e">
        <f t="shared" si="16"/>
        <v>#DIV/0!</v>
      </c>
      <c r="BD25" s="304">
        <f t="shared" si="24"/>
        <v>0</v>
      </c>
      <c r="BE25" s="296">
        <f t="shared" si="17"/>
        <v>0</v>
      </c>
      <c r="BF25" s="308">
        <f t="shared" si="21"/>
        <v>25000</v>
      </c>
    </row>
    <row r="26" spans="1:58" ht="19.5" thickBot="1">
      <c r="A26" s="298">
        <v>2</v>
      </c>
      <c r="B26" s="299">
        <v>1</v>
      </c>
      <c r="C26" s="299">
        <v>1</v>
      </c>
      <c r="D26" s="299">
        <v>2</v>
      </c>
      <c r="E26" s="402" t="s">
        <v>152</v>
      </c>
      <c r="F26" s="90" t="s">
        <v>19</v>
      </c>
      <c r="G26" s="300">
        <v>100000</v>
      </c>
      <c r="H26" s="300"/>
      <c r="I26" s="304"/>
      <c r="J26" s="301" t="e">
        <f t="shared" si="0"/>
        <v>#DIV/0!</v>
      </c>
      <c r="K26" s="302"/>
      <c r="L26" s="300"/>
      <c r="M26" s="303" t="e">
        <f t="shared" si="2"/>
        <v>#DIV/0!</v>
      </c>
      <c r="N26" s="300"/>
      <c r="O26" s="300"/>
      <c r="P26" s="303" t="e">
        <f t="shared" si="3"/>
        <v>#DIV/0!</v>
      </c>
      <c r="Q26" s="280">
        <f t="shared" si="25"/>
        <v>0</v>
      </c>
      <c r="R26" s="280">
        <f t="shared" si="25"/>
        <v>0</v>
      </c>
      <c r="S26" s="292" t="e">
        <f t="shared" si="20"/>
        <v>#DIV/0!</v>
      </c>
      <c r="T26" s="300"/>
      <c r="U26" s="304"/>
      <c r="V26" s="303" t="e">
        <f t="shared" si="4"/>
        <v>#DIV/0!</v>
      </c>
      <c r="W26" s="300"/>
      <c r="X26" s="304"/>
      <c r="Y26" s="303" t="e">
        <f t="shared" si="5"/>
        <v>#DIV/0!</v>
      </c>
      <c r="Z26" s="300"/>
      <c r="AA26" s="304"/>
      <c r="AB26" s="303" t="e">
        <f t="shared" si="6"/>
        <v>#DIV/0!</v>
      </c>
      <c r="AC26" s="280">
        <f t="shared" si="26"/>
        <v>0</v>
      </c>
      <c r="AD26" s="280">
        <f t="shared" si="26"/>
        <v>0</v>
      </c>
      <c r="AE26" s="292" t="e">
        <f t="shared" si="7"/>
        <v>#DIV/0!</v>
      </c>
      <c r="AF26" s="300"/>
      <c r="AG26" s="304"/>
      <c r="AH26" s="305" t="e">
        <f t="shared" si="8"/>
        <v>#DIV/0!</v>
      </c>
      <c r="AI26" s="300"/>
      <c r="AJ26" s="304"/>
      <c r="AK26" s="306" t="e">
        <f t="shared" si="9"/>
        <v>#DIV/0!</v>
      </c>
      <c r="AL26" s="90"/>
      <c r="AM26" s="90"/>
      <c r="AN26" s="307" t="e">
        <f t="shared" si="10"/>
        <v>#DIV/0!</v>
      </c>
      <c r="AO26" s="300">
        <f t="shared" si="22"/>
        <v>0</v>
      </c>
      <c r="AP26" s="300">
        <f t="shared" si="22"/>
        <v>0</v>
      </c>
      <c r="AQ26" s="292" t="e">
        <f t="shared" si="11"/>
        <v>#DIV/0!</v>
      </c>
      <c r="AR26" s="300"/>
      <c r="AS26" s="300"/>
      <c r="AT26" s="307" t="e">
        <f t="shared" si="13"/>
        <v>#DIV/0!</v>
      </c>
      <c r="AU26" s="300"/>
      <c r="AV26" s="300"/>
      <c r="AW26" s="307" t="e">
        <f t="shared" si="14"/>
        <v>#DIV/0!</v>
      </c>
      <c r="AX26" s="300"/>
      <c r="AY26" s="304"/>
      <c r="AZ26" s="294" t="e">
        <f t="shared" si="15"/>
        <v>#DIV/0!</v>
      </c>
      <c r="BA26" s="280">
        <f t="shared" si="23"/>
        <v>0</v>
      </c>
      <c r="BB26" s="280">
        <f t="shared" si="23"/>
        <v>0</v>
      </c>
      <c r="BC26" s="292" t="e">
        <f t="shared" si="16"/>
        <v>#DIV/0!</v>
      </c>
      <c r="BD26" s="304">
        <f t="shared" si="24"/>
        <v>0</v>
      </c>
      <c r="BE26" s="296">
        <f t="shared" si="17"/>
        <v>0</v>
      </c>
      <c r="BF26" s="308">
        <f>G26-(I26+L26+O26+U26+X26+AA26+AG26+AJ26+AM26+AS26+AV26+AY26)</f>
        <v>100000</v>
      </c>
    </row>
    <row r="27" spans="1:58" ht="19.5" thickBot="1">
      <c r="A27" s="298">
        <v>2</v>
      </c>
      <c r="B27" s="299">
        <v>1</v>
      </c>
      <c r="C27" s="299">
        <v>1</v>
      </c>
      <c r="D27" s="299">
        <v>2</v>
      </c>
      <c r="E27" s="402" t="s">
        <v>153</v>
      </c>
      <c r="F27" s="90" t="s">
        <v>22</v>
      </c>
      <c r="G27" s="300">
        <v>50000</v>
      </c>
      <c r="H27" s="300"/>
      <c r="I27" s="304">
        <v>25000</v>
      </c>
      <c r="J27" s="301" t="e">
        <f t="shared" si="0"/>
        <v>#DIV/0!</v>
      </c>
      <c r="K27" s="302"/>
      <c r="L27" s="300">
        <v>25000</v>
      </c>
      <c r="M27" s="303" t="e">
        <f t="shared" si="2"/>
        <v>#DIV/0!</v>
      </c>
      <c r="N27" s="300"/>
      <c r="O27" s="300">
        <v>25000</v>
      </c>
      <c r="P27" s="303" t="e">
        <f t="shared" si="3"/>
        <v>#DIV/0!</v>
      </c>
      <c r="Q27" s="280">
        <f t="shared" si="25"/>
        <v>0</v>
      </c>
      <c r="R27" s="280">
        <f t="shared" si="25"/>
        <v>75000</v>
      </c>
      <c r="S27" s="292" t="e">
        <f t="shared" si="20"/>
        <v>#DIV/0!</v>
      </c>
      <c r="T27" s="300"/>
      <c r="U27" s="304"/>
      <c r="V27" s="303" t="e">
        <f t="shared" si="4"/>
        <v>#DIV/0!</v>
      </c>
      <c r="W27" s="300"/>
      <c r="X27" s="304"/>
      <c r="Y27" s="303" t="e">
        <f t="shared" si="5"/>
        <v>#DIV/0!</v>
      </c>
      <c r="Z27" s="300"/>
      <c r="AA27" s="304"/>
      <c r="AB27" s="303" t="e">
        <f t="shared" si="6"/>
        <v>#DIV/0!</v>
      </c>
      <c r="AC27" s="280">
        <f t="shared" si="26"/>
        <v>0</v>
      </c>
      <c r="AD27" s="280">
        <f t="shared" si="26"/>
        <v>0</v>
      </c>
      <c r="AE27" s="292" t="e">
        <f t="shared" si="7"/>
        <v>#DIV/0!</v>
      </c>
      <c r="AF27" s="300"/>
      <c r="AG27" s="304"/>
      <c r="AH27" s="305" t="e">
        <f t="shared" si="8"/>
        <v>#DIV/0!</v>
      </c>
      <c r="AI27" s="300"/>
      <c r="AJ27" s="304"/>
      <c r="AK27" s="306" t="e">
        <f t="shared" si="9"/>
        <v>#DIV/0!</v>
      </c>
      <c r="AL27" s="90"/>
      <c r="AM27" s="90"/>
      <c r="AN27" s="307" t="e">
        <f t="shared" si="10"/>
        <v>#DIV/0!</v>
      </c>
      <c r="AO27" s="300">
        <f t="shared" si="22"/>
        <v>0</v>
      </c>
      <c r="AP27" s="300">
        <f t="shared" si="22"/>
        <v>0</v>
      </c>
      <c r="AQ27" s="292" t="e">
        <f t="shared" si="11"/>
        <v>#DIV/0!</v>
      </c>
      <c r="AR27" s="300"/>
      <c r="AS27" s="300"/>
      <c r="AT27" s="307" t="e">
        <f t="shared" si="13"/>
        <v>#DIV/0!</v>
      </c>
      <c r="AU27" s="300"/>
      <c r="AV27" s="300"/>
      <c r="AW27" s="295" t="e">
        <f t="shared" si="14"/>
        <v>#DIV/0!</v>
      </c>
      <c r="AX27" s="300"/>
      <c r="AY27" s="304"/>
      <c r="AZ27" s="294" t="e">
        <f t="shared" si="15"/>
        <v>#DIV/0!</v>
      </c>
      <c r="BA27" s="280">
        <f t="shared" si="23"/>
        <v>0</v>
      </c>
      <c r="BB27" s="280">
        <f t="shared" si="23"/>
        <v>0</v>
      </c>
      <c r="BC27" s="292" t="e">
        <f t="shared" si="16"/>
        <v>#DIV/0!</v>
      </c>
      <c r="BD27" s="304">
        <f t="shared" si="24"/>
        <v>75000</v>
      </c>
      <c r="BE27" s="296">
        <f t="shared" si="17"/>
        <v>1.5</v>
      </c>
      <c r="BF27" s="309">
        <f t="shared" si="21"/>
        <v>-25000</v>
      </c>
    </row>
    <row r="28" spans="1:58" ht="13.5" thickBot="1">
      <c r="A28" s="286">
        <v>2</v>
      </c>
      <c r="B28" s="231">
        <v>1</v>
      </c>
      <c r="C28" s="231">
        <v>1</v>
      </c>
      <c r="D28" s="231">
        <v>3</v>
      </c>
      <c r="E28" s="401"/>
      <c r="F28" s="155" t="s">
        <v>23</v>
      </c>
      <c r="G28" s="287">
        <v>2166015</v>
      </c>
      <c r="H28" s="287"/>
      <c r="I28" s="287"/>
      <c r="J28" s="289" t="e">
        <f t="shared" si="0"/>
        <v>#DIV/0!</v>
      </c>
      <c r="K28" s="287"/>
      <c r="L28" s="287"/>
      <c r="M28" s="291" t="e">
        <f t="shared" si="2"/>
        <v>#DIV/0!</v>
      </c>
      <c r="N28" s="287"/>
      <c r="O28" s="287"/>
      <c r="P28" s="291" t="e">
        <f t="shared" si="3"/>
        <v>#DIV/0!</v>
      </c>
      <c r="Q28" s="280">
        <f t="shared" si="25"/>
        <v>0</v>
      </c>
      <c r="R28" s="280">
        <f t="shared" si="25"/>
        <v>0</v>
      </c>
      <c r="S28" s="292" t="e">
        <f t="shared" si="20"/>
        <v>#DIV/0!</v>
      </c>
      <c r="T28" s="287"/>
      <c r="U28" s="287"/>
      <c r="V28" s="291" t="e">
        <f t="shared" si="4"/>
        <v>#DIV/0!</v>
      </c>
      <c r="W28" s="287"/>
      <c r="X28" s="287"/>
      <c r="Y28" s="291" t="e">
        <f t="shared" si="5"/>
        <v>#DIV/0!</v>
      </c>
      <c r="Z28" s="287"/>
      <c r="AA28" s="287"/>
      <c r="AB28" s="291" t="e">
        <f t="shared" si="6"/>
        <v>#DIV/0!</v>
      </c>
      <c r="AC28" s="280">
        <f t="shared" si="26"/>
        <v>0</v>
      </c>
      <c r="AD28" s="280">
        <f t="shared" si="26"/>
        <v>0</v>
      </c>
      <c r="AE28" s="292" t="e">
        <f t="shared" si="7"/>
        <v>#DIV/0!</v>
      </c>
      <c r="AF28" s="287"/>
      <c r="AG28" s="287"/>
      <c r="AH28" s="293" t="e">
        <f t="shared" si="8"/>
        <v>#DIV/0!</v>
      </c>
      <c r="AI28" s="287"/>
      <c r="AJ28" s="287"/>
      <c r="AK28" s="294" t="e">
        <f t="shared" si="9"/>
        <v>#DIV/0!</v>
      </c>
      <c r="AL28" s="287"/>
      <c r="AM28" s="287"/>
      <c r="AN28" s="295" t="e">
        <f t="shared" si="10"/>
        <v>#DIV/0!</v>
      </c>
      <c r="AO28" s="300">
        <f t="shared" si="22"/>
        <v>0</v>
      </c>
      <c r="AP28" s="300">
        <f t="shared" si="22"/>
        <v>0</v>
      </c>
      <c r="AQ28" s="292" t="e">
        <f t="shared" si="11"/>
        <v>#DIV/0!</v>
      </c>
      <c r="AR28" s="287"/>
      <c r="AS28" s="287"/>
      <c r="AT28" s="295" t="e">
        <f t="shared" si="13"/>
        <v>#DIV/0!</v>
      </c>
      <c r="AU28" s="287"/>
      <c r="AV28" s="287"/>
      <c r="AW28" s="295" t="e">
        <f t="shared" si="14"/>
        <v>#DIV/0!</v>
      </c>
      <c r="AX28" s="287"/>
      <c r="AY28" s="287"/>
      <c r="AZ28" s="294" t="e">
        <f t="shared" si="15"/>
        <v>#DIV/0!</v>
      </c>
      <c r="BA28" s="280">
        <f t="shared" si="23"/>
        <v>0</v>
      </c>
      <c r="BB28" s="280">
        <f t="shared" si="23"/>
        <v>0</v>
      </c>
      <c r="BC28" s="292" t="e">
        <f t="shared" si="16"/>
        <v>#DIV/0!</v>
      </c>
      <c r="BD28" s="304">
        <f t="shared" si="24"/>
        <v>0</v>
      </c>
      <c r="BE28" s="296">
        <f t="shared" si="17"/>
        <v>0</v>
      </c>
      <c r="BF28" s="297">
        <f t="shared" si="21"/>
        <v>2166015</v>
      </c>
    </row>
    <row r="29" spans="1:58" ht="13.5" thickBot="1">
      <c r="A29" s="286">
        <v>2</v>
      </c>
      <c r="B29" s="231">
        <v>1</v>
      </c>
      <c r="C29" s="231">
        <v>1</v>
      </c>
      <c r="D29" s="231">
        <v>4</v>
      </c>
      <c r="E29" s="401"/>
      <c r="F29" s="155" t="s">
        <v>72</v>
      </c>
      <c r="G29" s="287">
        <f>1980000+320000</f>
        <v>2300000</v>
      </c>
      <c r="H29" s="287"/>
      <c r="I29" s="287"/>
      <c r="J29" s="289" t="e">
        <f t="shared" si="0"/>
        <v>#DIV/0!</v>
      </c>
      <c r="K29" s="287"/>
      <c r="L29" s="287"/>
      <c r="M29" s="291" t="e">
        <f t="shared" si="2"/>
        <v>#DIV/0!</v>
      </c>
      <c r="N29" s="287"/>
      <c r="O29" s="287"/>
      <c r="P29" s="291" t="e">
        <f t="shared" si="3"/>
        <v>#DIV/0!</v>
      </c>
      <c r="Q29" s="280">
        <f t="shared" si="25"/>
        <v>0</v>
      </c>
      <c r="R29" s="280">
        <f t="shared" si="25"/>
        <v>0</v>
      </c>
      <c r="S29" s="292" t="e">
        <f t="shared" si="20"/>
        <v>#DIV/0!</v>
      </c>
      <c r="T29" s="287"/>
      <c r="U29" s="287"/>
      <c r="V29" s="291" t="e">
        <f t="shared" si="4"/>
        <v>#DIV/0!</v>
      </c>
      <c r="W29" s="287"/>
      <c r="X29" s="287"/>
      <c r="Y29" s="291" t="e">
        <f t="shared" si="5"/>
        <v>#DIV/0!</v>
      </c>
      <c r="Z29" s="287"/>
      <c r="AA29" s="287"/>
      <c r="AB29" s="291" t="e">
        <f t="shared" si="6"/>
        <v>#DIV/0!</v>
      </c>
      <c r="AC29" s="280">
        <f t="shared" si="26"/>
        <v>0</v>
      </c>
      <c r="AD29" s="280">
        <f t="shared" si="26"/>
        <v>0</v>
      </c>
      <c r="AE29" s="292" t="e">
        <f t="shared" si="7"/>
        <v>#DIV/0!</v>
      </c>
      <c r="AF29" s="287"/>
      <c r="AG29" s="287"/>
      <c r="AH29" s="293" t="e">
        <f t="shared" si="8"/>
        <v>#DIV/0!</v>
      </c>
      <c r="AI29" s="287"/>
      <c r="AJ29" s="287"/>
      <c r="AK29" s="294" t="e">
        <f t="shared" si="9"/>
        <v>#DIV/0!</v>
      </c>
      <c r="AL29" s="287"/>
      <c r="AM29" s="287"/>
      <c r="AN29" s="295" t="e">
        <f t="shared" si="10"/>
        <v>#DIV/0!</v>
      </c>
      <c r="AO29" s="300">
        <f t="shared" si="22"/>
        <v>0</v>
      </c>
      <c r="AP29" s="300">
        <f t="shared" si="22"/>
        <v>0</v>
      </c>
      <c r="AQ29" s="292" t="e">
        <f t="shared" si="11"/>
        <v>#DIV/0!</v>
      </c>
      <c r="AR29" s="287"/>
      <c r="AS29" s="287"/>
      <c r="AT29" s="295" t="e">
        <f t="shared" si="13"/>
        <v>#DIV/0!</v>
      </c>
      <c r="AU29" s="287"/>
      <c r="AV29" s="287"/>
      <c r="AW29" s="295" t="e">
        <f t="shared" si="14"/>
        <v>#DIV/0!</v>
      </c>
      <c r="AX29" s="287"/>
      <c r="AY29" s="287"/>
      <c r="AZ29" s="294" t="e">
        <f t="shared" si="15"/>
        <v>#DIV/0!</v>
      </c>
      <c r="BA29" s="280">
        <f t="shared" si="23"/>
        <v>0</v>
      </c>
      <c r="BB29" s="280">
        <f t="shared" si="23"/>
        <v>0</v>
      </c>
      <c r="BC29" s="292" t="e">
        <f t="shared" si="16"/>
        <v>#DIV/0!</v>
      </c>
      <c r="BD29" s="304">
        <f t="shared" si="24"/>
        <v>0</v>
      </c>
      <c r="BE29" s="296">
        <f t="shared" si="17"/>
        <v>0</v>
      </c>
      <c r="BF29" s="297">
        <f t="shared" si="21"/>
        <v>2300000</v>
      </c>
    </row>
    <row r="30" spans="1:58" ht="13.5" thickBot="1">
      <c r="A30" s="298"/>
      <c r="B30" s="299"/>
      <c r="C30" s="299"/>
      <c r="D30" s="299"/>
      <c r="E30" s="402"/>
      <c r="F30" s="90"/>
      <c r="G30" s="300"/>
      <c r="H30" s="300"/>
      <c r="I30" s="304"/>
      <c r="J30" s="289"/>
      <c r="K30" s="302"/>
      <c r="L30" s="300"/>
      <c r="M30" s="291"/>
      <c r="N30" s="300"/>
      <c r="O30" s="300"/>
      <c r="P30" s="291"/>
      <c r="Q30" s="280"/>
      <c r="R30" s="280"/>
      <c r="S30" s="292"/>
      <c r="T30" s="300"/>
      <c r="U30" s="304"/>
      <c r="V30" s="291"/>
      <c r="W30" s="300"/>
      <c r="X30" s="304"/>
      <c r="Y30" s="291"/>
      <c r="Z30" s="300"/>
      <c r="AA30" s="304"/>
      <c r="AB30" s="291"/>
      <c r="AC30" s="280"/>
      <c r="AD30" s="280"/>
      <c r="AE30" s="292"/>
      <c r="AF30" s="300"/>
      <c r="AG30" s="304"/>
      <c r="AH30" s="293"/>
      <c r="AI30" s="300"/>
      <c r="AJ30" s="304"/>
      <c r="AK30" s="294"/>
      <c r="AL30" s="90"/>
      <c r="AM30" s="90"/>
      <c r="AN30" s="295"/>
      <c r="AO30" s="300"/>
      <c r="AP30" s="300"/>
      <c r="AQ30" s="292"/>
      <c r="AR30" s="300"/>
      <c r="AS30" s="300"/>
      <c r="AT30" s="295"/>
      <c r="AU30" s="300"/>
      <c r="AV30" s="300"/>
      <c r="AW30" s="295"/>
      <c r="AX30" s="300"/>
      <c r="AY30" s="304"/>
      <c r="AZ30" s="294"/>
      <c r="BA30" s="280"/>
      <c r="BB30" s="280"/>
      <c r="BC30" s="292"/>
      <c r="BD30" s="304"/>
      <c r="BE30" s="296"/>
      <c r="BF30" s="308"/>
    </row>
    <row r="31" spans="1:58" ht="13.5" thickBot="1">
      <c r="A31" s="286">
        <v>2</v>
      </c>
      <c r="B31" s="231">
        <v>1</v>
      </c>
      <c r="C31" s="231">
        <v>2</v>
      </c>
      <c r="D31" s="299"/>
      <c r="E31" s="403"/>
      <c r="F31" s="155" t="s">
        <v>154</v>
      </c>
      <c r="G31" s="287">
        <f>+G32</f>
        <v>5584195</v>
      </c>
      <c r="H31" s="287">
        <f>+H32</f>
        <v>0</v>
      </c>
      <c r="I31" s="288">
        <f>+I32</f>
        <v>348275</v>
      </c>
      <c r="J31" s="289" t="e">
        <f t="shared" si="0"/>
        <v>#DIV/0!</v>
      </c>
      <c r="K31" s="290">
        <f>+K32</f>
        <v>0</v>
      </c>
      <c r="L31" s="287">
        <f>+L32</f>
        <v>348275</v>
      </c>
      <c r="M31" s="291" t="e">
        <f t="shared" si="2"/>
        <v>#DIV/0!</v>
      </c>
      <c r="N31" s="287">
        <f>+N32</f>
        <v>0</v>
      </c>
      <c r="O31" s="287">
        <f>+O32</f>
        <v>348275</v>
      </c>
      <c r="P31" s="291" t="e">
        <f t="shared" si="3"/>
        <v>#DIV/0!</v>
      </c>
      <c r="Q31" s="287">
        <f>+Q32</f>
        <v>0</v>
      </c>
      <c r="R31" s="287">
        <f>+R32</f>
        <v>1044825</v>
      </c>
      <c r="S31" s="292" t="e">
        <f t="shared" si="20"/>
        <v>#DIV/0!</v>
      </c>
      <c r="T31" s="287">
        <f>+T32</f>
        <v>0</v>
      </c>
      <c r="U31" s="288">
        <f>+U32</f>
        <v>0</v>
      </c>
      <c r="V31" s="291" t="e">
        <f t="shared" si="4"/>
        <v>#DIV/0!</v>
      </c>
      <c r="W31" s="287">
        <f>+W32</f>
        <v>0</v>
      </c>
      <c r="X31" s="288">
        <f>+X32</f>
        <v>0</v>
      </c>
      <c r="Y31" s="291" t="e">
        <f t="shared" si="5"/>
        <v>#DIV/0!</v>
      </c>
      <c r="Z31" s="287">
        <f>+Z32</f>
        <v>0</v>
      </c>
      <c r="AA31" s="288">
        <f>+AA32</f>
        <v>0</v>
      </c>
      <c r="AB31" s="291" t="e">
        <f t="shared" si="6"/>
        <v>#DIV/0!</v>
      </c>
      <c r="AC31" s="287">
        <f>+AC32</f>
        <v>0</v>
      </c>
      <c r="AD31" s="287">
        <f>+AD32</f>
        <v>0</v>
      </c>
      <c r="AE31" s="292" t="e">
        <f aca="true" t="shared" si="27" ref="AE31:AE41">AD31/AC31</f>
        <v>#DIV/0!</v>
      </c>
      <c r="AF31" s="287">
        <f>+AF32</f>
        <v>0</v>
      </c>
      <c r="AG31" s="288">
        <f>+AG32</f>
        <v>0</v>
      </c>
      <c r="AH31" s="293" t="e">
        <f t="shared" si="8"/>
        <v>#DIV/0!</v>
      </c>
      <c r="AI31" s="287">
        <f>+AI32</f>
        <v>0</v>
      </c>
      <c r="AJ31" s="288">
        <f>+AJ32</f>
        <v>0</v>
      </c>
      <c r="AK31" s="294" t="e">
        <f t="shared" si="9"/>
        <v>#DIV/0!</v>
      </c>
      <c r="AL31" s="287">
        <f>+AL32</f>
        <v>0</v>
      </c>
      <c r="AM31" s="287">
        <f>+AM32</f>
        <v>0</v>
      </c>
      <c r="AN31" s="295" t="e">
        <f t="shared" si="10"/>
        <v>#DIV/0!</v>
      </c>
      <c r="AO31" s="287">
        <f>+AO32</f>
        <v>0</v>
      </c>
      <c r="AP31" s="287">
        <f>+AP32</f>
        <v>0</v>
      </c>
      <c r="AQ31" s="292" t="e">
        <f aca="true" t="shared" si="28" ref="AQ31:AQ41">AP31/AO31</f>
        <v>#DIV/0!</v>
      </c>
      <c r="AR31" s="287"/>
      <c r="AS31" s="287"/>
      <c r="AT31" s="295" t="e">
        <f t="shared" si="13"/>
        <v>#DIV/0!</v>
      </c>
      <c r="AU31" s="287"/>
      <c r="AV31" s="287"/>
      <c r="AW31" s="295" t="e">
        <f t="shared" si="14"/>
        <v>#DIV/0!</v>
      </c>
      <c r="AX31" s="287">
        <f>+AX32</f>
        <v>0</v>
      </c>
      <c r="AY31" s="288">
        <f>+AY32</f>
        <v>0</v>
      </c>
      <c r="AZ31" s="294" t="e">
        <f t="shared" si="15"/>
        <v>#DIV/0!</v>
      </c>
      <c r="BA31" s="287">
        <f>+BA32</f>
        <v>0</v>
      </c>
      <c r="BB31" s="287">
        <f>+BB32</f>
        <v>0</v>
      </c>
      <c r="BC31" s="292" t="e">
        <f aca="true" t="shared" si="29" ref="BC31:BC41">BB31/BA31</f>
        <v>#DIV/0!</v>
      </c>
      <c r="BD31" s="288">
        <f>+BD32</f>
        <v>1044825</v>
      </c>
      <c r="BE31" s="296">
        <f t="shared" si="17"/>
        <v>0.18710396037387664</v>
      </c>
      <c r="BF31" s="297">
        <f t="shared" si="21"/>
        <v>4539370</v>
      </c>
    </row>
    <row r="32" spans="1:58" ht="13.5" thickBot="1">
      <c r="A32" s="286">
        <v>2</v>
      </c>
      <c r="B32" s="231">
        <v>1</v>
      </c>
      <c r="C32" s="231">
        <v>2</v>
      </c>
      <c r="D32" s="231">
        <v>2</v>
      </c>
      <c r="E32" s="401"/>
      <c r="F32" s="155" t="s">
        <v>155</v>
      </c>
      <c r="G32" s="287">
        <f>G33+G34+G35+G36</f>
        <v>5584195</v>
      </c>
      <c r="H32" s="287">
        <f>H33+H34+H35+H36</f>
        <v>0</v>
      </c>
      <c r="I32" s="288">
        <f>I33+I34+I35+I36</f>
        <v>348275</v>
      </c>
      <c r="J32" s="289" t="e">
        <f t="shared" si="0"/>
        <v>#DIV/0!</v>
      </c>
      <c r="K32" s="290">
        <f>K33+K34+K35+K36</f>
        <v>0</v>
      </c>
      <c r="L32" s="287">
        <f>L33+L34+L35+L36</f>
        <v>348275</v>
      </c>
      <c r="M32" s="291" t="e">
        <f t="shared" si="2"/>
        <v>#DIV/0!</v>
      </c>
      <c r="N32" s="287">
        <f>N33+N34+N35+N36</f>
        <v>0</v>
      </c>
      <c r="O32" s="287">
        <f>O33+O34+O35+O36</f>
        <v>348275</v>
      </c>
      <c r="P32" s="291" t="e">
        <f t="shared" si="3"/>
        <v>#DIV/0!</v>
      </c>
      <c r="Q32" s="287">
        <f>Q33+Q34+Q35+Q36</f>
        <v>0</v>
      </c>
      <c r="R32" s="287">
        <f>R33+R34+R35+R36</f>
        <v>1044825</v>
      </c>
      <c r="S32" s="292" t="e">
        <f t="shared" si="20"/>
        <v>#DIV/0!</v>
      </c>
      <c r="T32" s="287">
        <f>T33+T34+T35+T36</f>
        <v>0</v>
      </c>
      <c r="U32" s="288">
        <f>U33+U34+U35+U36</f>
        <v>0</v>
      </c>
      <c r="V32" s="291" t="e">
        <f t="shared" si="4"/>
        <v>#DIV/0!</v>
      </c>
      <c r="W32" s="287">
        <f>W33+W34+W35+W36</f>
        <v>0</v>
      </c>
      <c r="X32" s="288">
        <f>X33+X34+X35+X36</f>
        <v>0</v>
      </c>
      <c r="Y32" s="291" t="e">
        <f t="shared" si="5"/>
        <v>#DIV/0!</v>
      </c>
      <c r="Z32" s="287">
        <f>Z33+Z34+Z35+Z36</f>
        <v>0</v>
      </c>
      <c r="AA32" s="288">
        <f>AA33+AA34+AA35+AA36</f>
        <v>0</v>
      </c>
      <c r="AB32" s="291" t="e">
        <f t="shared" si="6"/>
        <v>#DIV/0!</v>
      </c>
      <c r="AC32" s="287">
        <f>AC33+AC34+AC35+AC36</f>
        <v>0</v>
      </c>
      <c r="AD32" s="287">
        <f>AD33+AD34+AD35+AD36</f>
        <v>0</v>
      </c>
      <c r="AE32" s="292" t="e">
        <f t="shared" si="27"/>
        <v>#DIV/0!</v>
      </c>
      <c r="AF32" s="287">
        <f>AF33+AF34+AF35+AF36</f>
        <v>0</v>
      </c>
      <c r="AG32" s="288">
        <f>AG33+AG34+AG35+AG36</f>
        <v>0</v>
      </c>
      <c r="AH32" s="293" t="e">
        <f t="shared" si="8"/>
        <v>#DIV/0!</v>
      </c>
      <c r="AI32" s="287">
        <f>AI33+AI34+AI35+AI36</f>
        <v>0</v>
      </c>
      <c r="AJ32" s="288">
        <f>AJ33+AJ34+AJ35+AJ36</f>
        <v>0</v>
      </c>
      <c r="AK32" s="294" t="e">
        <f t="shared" si="9"/>
        <v>#DIV/0!</v>
      </c>
      <c r="AL32" s="287">
        <f>AL33+AL34+AL35+AL36</f>
        <v>0</v>
      </c>
      <c r="AM32" s="287">
        <f>AM33+AM34+AM35+AM36</f>
        <v>0</v>
      </c>
      <c r="AN32" s="295" t="e">
        <f t="shared" si="10"/>
        <v>#DIV/0!</v>
      </c>
      <c r="AO32" s="287">
        <f>AO33+AO34+AO35+AO36</f>
        <v>0</v>
      </c>
      <c r="AP32" s="287">
        <f>AP33+AP34+AP35+AP36</f>
        <v>0</v>
      </c>
      <c r="AQ32" s="292" t="e">
        <f t="shared" si="28"/>
        <v>#DIV/0!</v>
      </c>
      <c r="AR32" s="287"/>
      <c r="AS32" s="287"/>
      <c r="AT32" s="295" t="e">
        <f t="shared" si="13"/>
        <v>#DIV/0!</v>
      </c>
      <c r="AU32" s="287"/>
      <c r="AV32" s="287"/>
      <c r="AW32" s="295" t="e">
        <f t="shared" si="14"/>
        <v>#DIV/0!</v>
      </c>
      <c r="AX32" s="287">
        <f>AX33+AX34+AX35+AX36</f>
        <v>0</v>
      </c>
      <c r="AY32" s="288">
        <f>AY33+AY34+AY35+AY36</f>
        <v>0</v>
      </c>
      <c r="AZ32" s="294" t="e">
        <f t="shared" si="15"/>
        <v>#DIV/0!</v>
      </c>
      <c r="BA32" s="287">
        <f>BA33+BA34+BA35+BA36</f>
        <v>0</v>
      </c>
      <c r="BB32" s="287">
        <f>BB33+BB34+BB35+BB36</f>
        <v>0</v>
      </c>
      <c r="BC32" s="292" t="e">
        <f t="shared" si="29"/>
        <v>#DIV/0!</v>
      </c>
      <c r="BD32" s="288">
        <f>BD33+BD34+BD35+BD36</f>
        <v>1044825</v>
      </c>
      <c r="BE32" s="296">
        <f t="shared" si="17"/>
        <v>0.18710396037387664</v>
      </c>
      <c r="BF32" s="297">
        <f t="shared" si="21"/>
        <v>4539370</v>
      </c>
    </row>
    <row r="33" spans="1:58" ht="13.5" thickBot="1">
      <c r="A33" s="286">
        <v>2</v>
      </c>
      <c r="B33" s="231">
        <v>1</v>
      </c>
      <c r="C33" s="231">
        <v>2</v>
      </c>
      <c r="D33" s="231">
        <v>2</v>
      </c>
      <c r="E33" s="402" t="s">
        <v>149</v>
      </c>
      <c r="F33" s="90" t="s">
        <v>77</v>
      </c>
      <c r="G33" s="300">
        <v>60000</v>
      </c>
      <c r="H33" s="300"/>
      <c r="I33" s="304">
        <v>5000</v>
      </c>
      <c r="J33" s="301" t="e">
        <f t="shared" si="0"/>
        <v>#DIV/0!</v>
      </c>
      <c r="K33" s="302"/>
      <c r="L33" s="300">
        <v>5000</v>
      </c>
      <c r="M33" s="291" t="e">
        <f t="shared" si="2"/>
        <v>#DIV/0!</v>
      </c>
      <c r="N33" s="300"/>
      <c r="O33" s="300">
        <v>5000</v>
      </c>
      <c r="P33" s="291" t="e">
        <f t="shared" si="3"/>
        <v>#DIV/0!</v>
      </c>
      <c r="Q33" s="280">
        <f aca="true" t="shared" si="30" ref="Q33:R36">N33+K33+H33</f>
        <v>0</v>
      </c>
      <c r="R33" s="280">
        <f>O33+L33+I33</f>
        <v>15000</v>
      </c>
      <c r="S33" s="292" t="e">
        <f t="shared" si="20"/>
        <v>#DIV/0!</v>
      </c>
      <c r="T33" s="300"/>
      <c r="U33" s="304"/>
      <c r="V33" s="291" t="e">
        <f t="shared" si="4"/>
        <v>#DIV/0!</v>
      </c>
      <c r="W33" s="300"/>
      <c r="X33" s="304"/>
      <c r="Y33" s="291" t="e">
        <f t="shared" si="5"/>
        <v>#DIV/0!</v>
      </c>
      <c r="Z33" s="300"/>
      <c r="AA33" s="304"/>
      <c r="AB33" s="291" t="e">
        <f t="shared" si="6"/>
        <v>#DIV/0!</v>
      </c>
      <c r="AC33" s="280">
        <f aca="true" t="shared" si="31" ref="AC33:AD36">Z33+W33+T33</f>
        <v>0</v>
      </c>
      <c r="AD33" s="280">
        <f t="shared" si="31"/>
        <v>0</v>
      </c>
      <c r="AE33" s="292" t="e">
        <f t="shared" si="27"/>
        <v>#DIV/0!</v>
      </c>
      <c r="AF33" s="300"/>
      <c r="AG33" s="304"/>
      <c r="AH33" s="293" t="e">
        <f t="shared" si="8"/>
        <v>#DIV/0!</v>
      </c>
      <c r="AI33" s="300"/>
      <c r="AJ33" s="304"/>
      <c r="AK33" s="294" t="e">
        <f t="shared" si="9"/>
        <v>#DIV/0!</v>
      </c>
      <c r="AL33" s="90"/>
      <c r="AM33" s="90"/>
      <c r="AN33" s="295" t="e">
        <f t="shared" si="10"/>
        <v>#DIV/0!</v>
      </c>
      <c r="AO33" s="300">
        <f aca="true" t="shared" si="32" ref="AO33:AP36">AL33+AI33+AF33</f>
        <v>0</v>
      </c>
      <c r="AP33" s="300">
        <f t="shared" si="32"/>
        <v>0</v>
      </c>
      <c r="AQ33" s="292" t="e">
        <f t="shared" si="28"/>
        <v>#DIV/0!</v>
      </c>
      <c r="AR33" s="300"/>
      <c r="AS33" s="300"/>
      <c r="AT33" s="295" t="e">
        <f t="shared" si="13"/>
        <v>#DIV/0!</v>
      </c>
      <c r="AU33" s="300"/>
      <c r="AV33" s="300"/>
      <c r="AW33" s="295" t="e">
        <f t="shared" si="14"/>
        <v>#DIV/0!</v>
      </c>
      <c r="AX33" s="300"/>
      <c r="AY33" s="304"/>
      <c r="AZ33" s="294" t="e">
        <f t="shared" si="15"/>
        <v>#DIV/0!</v>
      </c>
      <c r="BA33" s="280">
        <f aca="true" t="shared" si="33" ref="BA33:BB36">AX33+AU33+AR33</f>
        <v>0</v>
      </c>
      <c r="BB33" s="280">
        <f t="shared" si="33"/>
        <v>0</v>
      </c>
      <c r="BC33" s="292" t="e">
        <f t="shared" si="29"/>
        <v>#DIV/0!</v>
      </c>
      <c r="BD33" s="304">
        <f>I33+L33+O33+U33+X33+AA33+AG33+AJ33+AM33+AS33+AV33+AY33</f>
        <v>15000</v>
      </c>
      <c r="BE33" s="296">
        <f t="shared" si="17"/>
        <v>0.25</v>
      </c>
      <c r="BF33" s="308">
        <f t="shared" si="21"/>
        <v>45000</v>
      </c>
    </row>
    <row r="34" spans="1:58" ht="19.5" thickBot="1">
      <c r="A34" s="286">
        <v>2</v>
      </c>
      <c r="B34" s="231">
        <v>1</v>
      </c>
      <c r="C34" s="231">
        <v>2</v>
      </c>
      <c r="D34" s="231">
        <v>2</v>
      </c>
      <c r="E34" s="402" t="s">
        <v>152</v>
      </c>
      <c r="F34" s="90" t="s">
        <v>17</v>
      </c>
      <c r="G34" s="300">
        <v>4512945</v>
      </c>
      <c r="H34" s="300"/>
      <c r="I34" s="304">
        <v>327025</v>
      </c>
      <c r="J34" s="301" t="e">
        <f t="shared" si="0"/>
        <v>#DIV/0!</v>
      </c>
      <c r="K34" s="302"/>
      <c r="L34" s="300">
        <v>327025</v>
      </c>
      <c r="M34" s="291" t="e">
        <f t="shared" si="2"/>
        <v>#DIV/0!</v>
      </c>
      <c r="N34" s="300"/>
      <c r="O34" s="300">
        <v>327025</v>
      </c>
      <c r="P34" s="291" t="e">
        <f t="shared" si="3"/>
        <v>#DIV/0!</v>
      </c>
      <c r="Q34" s="280">
        <f>N34+K34+H34</f>
        <v>0</v>
      </c>
      <c r="R34" s="280">
        <f t="shared" si="30"/>
        <v>981075</v>
      </c>
      <c r="S34" s="292" t="e">
        <f t="shared" si="20"/>
        <v>#DIV/0!</v>
      </c>
      <c r="T34" s="300"/>
      <c r="U34" s="304"/>
      <c r="V34" s="291" t="e">
        <f t="shared" si="4"/>
        <v>#DIV/0!</v>
      </c>
      <c r="W34" s="300"/>
      <c r="X34" s="304"/>
      <c r="Y34" s="291" t="e">
        <f t="shared" si="5"/>
        <v>#DIV/0!</v>
      </c>
      <c r="Z34" s="300"/>
      <c r="AA34" s="304"/>
      <c r="AB34" s="291" t="e">
        <f t="shared" si="6"/>
        <v>#DIV/0!</v>
      </c>
      <c r="AC34" s="280">
        <f t="shared" si="31"/>
        <v>0</v>
      </c>
      <c r="AD34" s="280">
        <f t="shared" si="31"/>
        <v>0</v>
      </c>
      <c r="AE34" s="292" t="e">
        <f t="shared" si="27"/>
        <v>#DIV/0!</v>
      </c>
      <c r="AF34" s="300"/>
      <c r="AG34" s="304"/>
      <c r="AH34" s="293" t="e">
        <f t="shared" si="8"/>
        <v>#DIV/0!</v>
      </c>
      <c r="AI34" s="300"/>
      <c r="AJ34" s="304"/>
      <c r="AK34" s="294" t="e">
        <f t="shared" si="9"/>
        <v>#DIV/0!</v>
      </c>
      <c r="AL34" s="90"/>
      <c r="AM34" s="90"/>
      <c r="AN34" s="295" t="e">
        <f t="shared" si="10"/>
        <v>#DIV/0!</v>
      </c>
      <c r="AO34" s="300">
        <f t="shared" si="32"/>
        <v>0</v>
      </c>
      <c r="AP34" s="300">
        <f t="shared" si="32"/>
        <v>0</v>
      </c>
      <c r="AQ34" s="292" t="e">
        <f t="shared" si="28"/>
        <v>#DIV/0!</v>
      </c>
      <c r="AR34" s="300"/>
      <c r="AS34" s="300"/>
      <c r="AT34" s="295" t="e">
        <f t="shared" si="13"/>
        <v>#DIV/0!</v>
      </c>
      <c r="AU34" s="300"/>
      <c r="AV34" s="300"/>
      <c r="AW34" s="295" t="e">
        <f t="shared" si="14"/>
        <v>#DIV/0!</v>
      </c>
      <c r="AX34" s="300"/>
      <c r="AY34" s="304"/>
      <c r="AZ34" s="294" t="e">
        <f t="shared" si="15"/>
        <v>#DIV/0!</v>
      </c>
      <c r="BA34" s="280">
        <f t="shared" si="33"/>
        <v>0</v>
      </c>
      <c r="BB34" s="280">
        <f t="shared" si="33"/>
        <v>0</v>
      </c>
      <c r="BC34" s="292" t="e">
        <f t="shared" si="29"/>
        <v>#DIV/0!</v>
      </c>
      <c r="BD34" s="304">
        <f>I34+L34+O34+U34+X34+AA34+AG34+AJ34+AM34+AS34+AV34+AY34</f>
        <v>981075</v>
      </c>
      <c r="BE34" s="296">
        <f t="shared" si="17"/>
        <v>0.21739130434782608</v>
      </c>
      <c r="BF34" s="308">
        <f t="shared" si="21"/>
        <v>3531870</v>
      </c>
    </row>
    <row r="35" spans="1:58" ht="19.5" thickBot="1">
      <c r="A35" s="286">
        <v>2</v>
      </c>
      <c r="B35" s="231">
        <v>1</v>
      </c>
      <c r="C35" s="231">
        <v>2</v>
      </c>
      <c r="D35" s="231">
        <v>2</v>
      </c>
      <c r="E35" s="402" t="s">
        <v>153</v>
      </c>
      <c r="F35" s="90" t="s">
        <v>80</v>
      </c>
      <c r="G35" s="300">
        <v>211250</v>
      </c>
      <c r="H35" s="300"/>
      <c r="I35" s="304">
        <v>16250</v>
      </c>
      <c r="J35" s="301" t="e">
        <f t="shared" si="0"/>
        <v>#DIV/0!</v>
      </c>
      <c r="K35" s="302"/>
      <c r="L35" s="300">
        <v>16250</v>
      </c>
      <c r="M35" s="291" t="e">
        <f t="shared" si="2"/>
        <v>#DIV/0!</v>
      </c>
      <c r="N35" s="300"/>
      <c r="O35" s="300">
        <v>16250</v>
      </c>
      <c r="P35" s="291" t="e">
        <f t="shared" si="3"/>
        <v>#DIV/0!</v>
      </c>
      <c r="Q35" s="280">
        <f t="shared" si="30"/>
        <v>0</v>
      </c>
      <c r="R35" s="280">
        <f>O35+L35+I35</f>
        <v>48750</v>
      </c>
      <c r="S35" s="292" t="e">
        <f t="shared" si="20"/>
        <v>#DIV/0!</v>
      </c>
      <c r="T35" s="300"/>
      <c r="U35" s="304"/>
      <c r="V35" s="291" t="e">
        <f t="shared" si="4"/>
        <v>#DIV/0!</v>
      </c>
      <c r="W35" s="300"/>
      <c r="X35" s="304"/>
      <c r="Y35" s="291" t="e">
        <f t="shared" si="5"/>
        <v>#DIV/0!</v>
      </c>
      <c r="Z35" s="300"/>
      <c r="AA35" s="304"/>
      <c r="AB35" s="291" t="e">
        <f t="shared" si="6"/>
        <v>#DIV/0!</v>
      </c>
      <c r="AC35" s="280">
        <f t="shared" si="31"/>
        <v>0</v>
      </c>
      <c r="AD35" s="280">
        <f t="shared" si="31"/>
        <v>0</v>
      </c>
      <c r="AE35" s="292" t="e">
        <f t="shared" si="27"/>
        <v>#DIV/0!</v>
      </c>
      <c r="AF35" s="300"/>
      <c r="AG35" s="304"/>
      <c r="AH35" s="293" t="e">
        <f t="shared" si="8"/>
        <v>#DIV/0!</v>
      </c>
      <c r="AI35" s="300"/>
      <c r="AJ35" s="304"/>
      <c r="AK35" s="294" t="e">
        <f t="shared" si="9"/>
        <v>#DIV/0!</v>
      </c>
      <c r="AL35" s="90"/>
      <c r="AM35" s="90"/>
      <c r="AN35" s="295" t="e">
        <f t="shared" si="10"/>
        <v>#DIV/0!</v>
      </c>
      <c r="AO35" s="300">
        <f t="shared" si="32"/>
        <v>0</v>
      </c>
      <c r="AP35" s="300">
        <f t="shared" si="32"/>
        <v>0</v>
      </c>
      <c r="AQ35" s="292" t="e">
        <f t="shared" si="28"/>
        <v>#DIV/0!</v>
      </c>
      <c r="AR35" s="300"/>
      <c r="AS35" s="300"/>
      <c r="AT35" s="295" t="e">
        <f t="shared" si="13"/>
        <v>#DIV/0!</v>
      </c>
      <c r="AU35" s="300"/>
      <c r="AV35" s="300"/>
      <c r="AW35" s="295" t="e">
        <f t="shared" si="14"/>
        <v>#DIV/0!</v>
      </c>
      <c r="AX35" s="300"/>
      <c r="AY35" s="304"/>
      <c r="AZ35" s="294" t="e">
        <f t="shared" si="15"/>
        <v>#DIV/0!</v>
      </c>
      <c r="BA35" s="280">
        <f t="shared" si="33"/>
        <v>0</v>
      </c>
      <c r="BB35" s="280">
        <f t="shared" si="33"/>
        <v>0</v>
      </c>
      <c r="BC35" s="292" t="e">
        <f t="shared" si="29"/>
        <v>#DIV/0!</v>
      </c>
      <c r="BD35" s="304">
        <f>I35+L35+O35+U35+X35+AA35+AG35+AJ35+AM35+AS35+AV35+AY35</f>
        <v>48750</v>
      </c>
      <c r="BE35" s="296">
        <f t="shared" si="17"/>
        <v>0.23076923076923078</v>
      </c>
      <c r="BF35" s="308">
        <f t="shared" si="21"/>
        <v>162500</v>
      </c>
    </row>
    <row r="36" spans="1:58" ht="19.5" thickBot="1">
      <c r="A36" s="286">
        <v>2</v>
      </c>
      <c r="B36" s="231">
        <v>1</v>
      </c>
      <c r="C36" s="231">
        <v>2</v>
      </c>
      <c r="D36" s="231">
        <v>2</v>
      </c>
      <c r="E36" s="402" t="s">
        <v>158</v>
      </c>
      <c r="F36" s="90" t="s">
        <v>14</v>
      </c>
      <c r="G36" s="300">
        <v>800000</v>
      </c>
      <c r="H36" s="300"/>
      <c r="I36" s="304"/>
      <c r="J36" s="301" t="e">
        <f t="shared" si="0"/>
        <v>#DIV/0!</v>
      </c>
      <c r="K36" s="302"/>
      <c r="L36" s="300"/>
      <c r="M36" s="291" t="e">
        <f t="shared" si="2"/>
        <v>#DIV/0!</v>
      </c>
      <c r="N36" s="300"/>
      <c r="O36" s="300"/>
      <c r="P36" s="291" t="e">
        <f t="shared" si="3"/>
        <v>#DIV/0!</v>
      </c>
      <c r="Q36" s="280">
        <f t="shared" si="30"/>
        <v>0</v>
      </c>
      <c r="R36" s="280">
        <f t="shared" si="30"/>
        <v>0</v>
      </c>
      <c r="S36" s="292" t="e">
        <f t="shared" si="20"/>
        <v>#DIV/0!</v>
      </c>
      <c r="T36" s="300"/>
      <c r="U36" s="304"/>
      <c r="V36" s="291" t="e">
        <f t="shared" si="4"/>
        <v>#DIV/0!</v>
      </c>
      <c r="W36" s="300"/>
      <c r="X36" s="304"/>
      <c r="Y36" s="291" t="e">
        <f t="shared" si="5"/>
        <v>#DIV/0!</v>
      </c>
      <c r="Z36" s="300"/>
      <c r="AA36" s="304"/>
      <c r="AB36" s="291" t="e">
        <f t="shared" si="6"/>
        <v>#DIV/0!</v>
      </c>
      <c r="AC36" s="280">
        <f t="shared" si="31"/>
        <v>0</v>
      </c>
      <c r="AD36" s="280">
        <f t="shared" si="31"/>
        <v>0</v>
      </c>
      <c r="AE36" s="292" t="e">
        <f t="shared" si="27"/>
        <v>#DIV/0!</v>
      </c>
      <c r="AF36" s="300"/>
      <c r="AG36" s="304"/>
      <c r="AH36" s="293" t="e">
        <f t="shared" si="8"/>
        <v>#DIV/0!</v>
      </c>
      <c r="AI36" s="300"/>
      <c r="AJ36" s="304"/>
      <c r="AK36" s="294" t="e">
        <f t="shared" si="9"/>
        <v>#DIV/0!</v>
      </c>
      <c r="AL36" s="90"/>
      <c r="AM36" s="90"/>
      <c r="AN36" s="295" t="e">
        <f t="shared" si="10"/>
        <v>#DIV/0!</v>
      </c>
      <c r="AO36" s="300">
        <f t="shared" si="32"/>
        <v>0</v>
      </c>
      <c r="AP36" s="300">
        <f t="shared" si="32"/>
        <v>0</v>
      </c>
      <c r="AQ36" s="292" t="e">
        <f t="shared" si="28"/>
        <v>#DIV/0!</v>
      </c>
      <c r="AR36" s="300"/>
      <c r="AS36" s="300"/>
      <c r="AT36" s="295" t="e">
        <f t="shared" si="13"/>
        <v>#DIV/0!</v>
      </c>
      <c r="AU36" s="300"/>
      <c r="AV36" s="300"/>
      <c r="AW36" s="295" t="e">
        <f t="shared" si="14"/>
        <v>#DIV/0!</v>
      </c>
      <c r="AX36" s="300"/>
      <c r="AY36" s="304"/>
      <c r="AZ36" s="294" t="e">
        <f t="shared" si="15"/>
        <v>#DIV/0!</v>
      </c>
      <c r="BA36" s="280">
        <f t="shared" si="33"/>
        <v>0</v>
      </c>
      <c r="BB36" s="280">
        <f t="shared" si="33"/>
        <v>0</v>
      </c>
      <c r="BC36" s="292" t="e">
        <f t="shared" si="29"/>
        <v>#DIV/0!</v>
      </c>
      <c r="BD36" s="304">
        <f>I36+L36+O36+U36+X36+AA36+AG36+AJ36+AM36+AS36+AV36+AY36</f>
        <v>0</v>
      </c>
      <c r="BE36" s="296">
        <f t="shared" si="17"/>
        <v>0</v>
      </c>
      <c r="BF36" s="308">
        <f t="shared" si="21"/>
        <v>800000</v>
      </c>
    </row>
    <row r="37" spans="1:58" ht="13.5" thickBot="1">
      <c r="A37" s="286"/>
      <c r="B37" s="231"/>
      <c r="C37" s="231"/>
      <c r="D37" s="231"/>
      <c r="E37" s="402"/>
      <c r="F37" s="90"/>
      <c r="G37" s="300"/>
      <c r="H37" s="300"/>
      <c r="I37" s="304"/>
      <c r="J37" s="301"/>
      <c r="K37" s="302"/>
      <c r="L37" s="300"/>
      <c r="M37" s="291"/>
      <c r="N37" s="300"/>
      <c r="O37" s="300"/>
      <c r="P37" s="291"/>
      <c r="Q37" s="280"/>
      <c r="R37" s="280"/>
      <c r="S37" s="292"/>
      <c r="T37" s="300"/>
      <c r="U37" s="304"/>
      <c r="V37" s="291"/>
      <c r="W37" s="300"/>
      <c r="X37" s="304"/>
      <c r="Y37" s="291"/>
      <c r="Z37" s="300"/>
      <c r="AA37" s="304"/>
      <c r="AB37" s="291"/>
      <c r="AC37" s="280"/>
      <c r="AD37" s="280"/>
      <c r="AE37" s="292"/>
      <c r="AF37" s="300"/>
      <c r="AG37" s="304"/>
      <c r="AH37" s="293"/>
      <c r="AI37" s="300"/>
      <c r="AJ37" s="304"/>
      <c r="AK37" s="294"/>
      <c r="AL37" s="90"/>
      <c r="AM37" s="90"/>
      <c r="AN37" s="295"/>
      <c r="AO37" s="300"/>
      <c r="AP37" s="300"/>
      <c r="AQ37" s="292"/>
      <c r="AR37" s="300"/>
      <c r="AS37" s="300"/>
      <c r="AT37" s="295"/>
      <c r="AU37" s="300"/>
      <c r="AV37" s="300"/>
      <c r="AW37" s="295"/>
      <c r="AX37" s="300"/>
      <c r="AY37" s="304"/>
      <c r="AZ37" s="294"/>
      <c r="BA37" s="280"/>
      <c r="BB37" s="280"/>
      <c r="BC37" s="292"/>
      <c r="BD37" s="304"/>
      <c r="BE37" s="296"/>
      <c r="BF37" s="308"/>
    </row>
    <row r="38" spans="1:58" ht="13.5" thickBot="1">
      <c r="A38" s="286">
        <v>2</v>
      </c>
      <c r="B38" s="231">
        <v>1</v>
      </c>
      <c r="C38" s="231">
        <v>3</v>
      </c>
      <c r="D38" s="299"/>
      <c r="E38" s="403"/>
      <c r="F38" s="155" t="s">
        <v>160</v>
      </c>
      <c r="G38" s="287">
        <f>G39+G42</f>
        <v>600000</v>
      </c>
      <c r="H38" s="287">
        <f>H39+H40+H41+H42</f>
        <v>0</v>
      </c>
      <c r="I38" s="288">
        <f>I39</f>
        <v>0</v>
      </c>
      <c r="J38" s="289" t="e">
        <f t="shared" si="0"/>
        <v>#DIV/0!</v>
      </c>
      <c r="K38" s="290">
        <f>K39</f>
        <v>0</v>
      </c>
      <c r="L38" s="287">
        <f>L39</f>
        <v>0</v>
      </c>
      <c r="M38" s="291" t="e">
        <f t="shared" si="2"/>
        <v>#DIV/0!</v>
      </c>
      <c r="N38" s="287">
        <f>N39</f>
        <v>0</v>
      </c>
      <c r="O38" s="287">
        <f>O39</f>
        <v>0</v>
      </c>
      <c r="P38" s="291" t="e">
        <f t="shared" si="3"/>
        <v>#DIV/0!</v>
      </c>
      <c r="Q38" s="287">
        <f>Q39+Q42</f>
        <v>0</v>
      </c>
      <c r="R38" s="287">
        <f>R39+R42</f>
        <v>22650</v>
      </c>
      <c r="S38" s="292" t="e">
        <f t="shared" si="20"/>
        <v>#DIV/0!</v>
      </c>
      <c r="T38" s="287">
        <f>T39+T40+T41+T42</f>
        <v>0</v>
      </c>
      <c r="U38" s="288">
        <f>U39</f>
        <v>0</v>
      </c>
      <c r="V38" s="291" t="e">
        <f t="shared" si="4"/>
        <v>#DIV/0!</v>
      </c>
      <c r="W38" s="287">
        <f>W39+W40+W41+W42</f>
        <v>0</v>
      </c>
      <c r="X38" s="288">
        <f>X39</f>
        <v>0</v>
      </c>
      <c r="Y38" s="291" t="e">
        <f t="shared" si="5"/>
        <v>#DIV/0!</v>
      </c>
      <c r="Z38" s="287">
        <f>Z39+Z40+Z41+Z42</f>
        <v>0</v>
      </c>
      <c r="AA38" s="288">
        <f>AA39</f>
        <v>0</v>
      </c>
      <c r="AB38" s="291" t="e">
        <f t="shared" si="6"/>
        <v>#DIV/0!</v>
      </c>
      <c r="AC38" s="287">
        <f>AC39+AC42</f>
        <v>0</v>
      </c>
      <c r="AD38" s="287">
        <f>AD39+AD42</f>
        <v>0</v>
      </c>
      <c r="AE38" s="292" t="e">
        <f t="shared" si="27"/>
        <v>#DIV/0!</v>
      </c>
      <c r="AF38" s="287">
        <f>AF39+AF40+AF41+AF42</f>
        <v>0</v>
      </c>
      <c r="AG38" s="288">
        <f>AG39</f>
        <v>0</v>
      </c>
      <c r="AH38" s="293" t="e">
        <f t="shared" si="8"/>
        <v>#DIV/0!</v>
      </c>
      <c r="AI38" s="287">
        <f>AI39+AI40+AI41+AI42</f>
        <v>0</v>
      </c>
      <c r="AJ38" s="288">
        <f>AJ39</f>
        <v>0</v>
      </c>
      <c r="AK38" s="294" t="e">
        <f t="shared" si="9"/>
        <v>#DIV/0!</v>
      </c>
      <c r="AL38" s="287">
        <f>AL39</f>
        <v>0</v>
      </c>
      <c r="AM38" s="287">
        <f>AM39</f>
        <v>0</v>
      </c>
      <c r="AN38" s="295" t="e">
        <f t="shared" si="10"/>
        <v>#DIV/0!</v>
      </c>
      <c r="AO38" s="287">
        <f>AO39+AO42</f>
        <v>0</v>
      </c>
      <c r="AP38" s="287">
        <f>AP39+AP42</f>
        <v>0</v>
      </c>
      <c r="AQ38" s="292" t="e">
        <f t="shared" si="28"/>
        <v>#DIV/0!</v>
      </c>
      <c r="AR38" s="287"/>
      <c r="AS38" s="287"/>
      <c r="AT38" s="295" t="e">
        <f t="shared" si="13"/>
        <v>#DIV/0!</v>
      </c>
      <c r="AU38" s="287"/>
      <c r="AV38" s="287"/>
      <c r="AW38" s="295" t="e">
        <f t="shared" si="14"/>
        <v>#DIV/0!</v>
      </c>
      <c r="AX38" s="287">
        <f>AX39</f>
        <v>0</v>
      </c>
      <c r="AY38" s="288">
        <f>AY39</f>
        <v>0</v>
      </c>
      <c r="AZ38" s="294" t="e">
        <f t="shared" si="15"/>
        <v>#DIV/0!</v>
      </c>
      <c r="BA38" s="287">
        <f>BA39+BA42</f>
        <v>0</v>
      </c>
      <c r="BB38" s="287">
        <f>BB39+BB42</f>
        <v>0</v>
      </c>
      <c r="BC38" s="292" t="e">
        <f t="shared" si="29"/>
        <v>#DIV/0!</v>
      </c>
      <c r="BD38" s="287">
        <f>BD39+BD42</f>
        <v>22650</v>
      </c>
      <c r="BE38" s="296">
        <f t="shared" si="17"/>
        <v>0.03775</v>
      </c>
      <c r="BF38" s="287">
        <f>BF39+BF42</f>
        <v>577350</v>
      </c>
    </row>
    <row r="39" spans="1:58" ht="13.5" thickBot="1">
      <c r="A39" s="286">
        <v>2</v>
      </c>
      <c r="B39" s="231">
        <v>1</v>
      </c>
      <c r="C39" s="231">
        <v>3</v>
      </c>
      <c r="D39" s="231">
        <v>1</v>
      </c>
      <c r="E39" s="401"/>
      <c r="F39" s="155" t="s">
        <v>24</v>
      </c>
      <c r="G39" s="287">
        <f>G40+G41</f>
        <v>600000</v>
      </c>
      <c r="H39" s="287">
        <f>H40+H41</f>
        <v>0</v>
      </c>
      <c r="I39" s="288">
        <f>I40+I41</f>
        <v>0</v>
      </c>
      <c r="J39" s="289" t="e">
        <f t="shared" si="0"/>
        <v>#DIV/0!</v>
      </c>
      <c r="K39" s="290">
        <f>K40+K41</f>
        <v>0</v>
      </c>
      <c r="L39" s="287">
        <f>L40+L41</f>
        <v>0</v>
      </c>
      <c r="M39" s="291" t="e">
        <f t="shared" si="2"/>
        <v>#DIV/0!</v>
      </c>
      <c r="N39" s="287">
        <f>N40+N41</f>
        <v>0</v>
      </c>
      <c r="O39" s="287">
        <f>O40+O41</f>
        <v>0</v>
      </c>
      <c r="P39" s="291" t="e">
        <f t="shared" si="3"/>
        <v>#DIV/0!</v>
      </c>
      <c r="Q39" s="287">
        <f>Q40+Q41</f>
        <v>0</v>
      </c>
      <c r="R39" s="287">
        <f>R40+R41</f>
        <v>0</v>
      </c>
      <c r="S39" s="292" t="e">
        <f t="shared" si="20"/>
        <v>#DIV/0!</v>
      </c>
      <c r="T39" s="287">
        <f>T40+T41</f>
        <v>0</v>
      </c>
      <c r="U39" s="288">
        <f>U40+U41</f>
        <v>0</v>
      </c>
      <c r="V39" s="291" t="e">
        <f t="shared" si="4"/>
        <v>#DIV/0!</v>
      </c>
      <c r="W39" s="287">
        <f>W40+W41</f>
        <v>0</v>
      </c>
      <c r="X39" s="288">
        <f>X40+X41</f>
        <v>0</v>
      </c>
      <c r="Y39" s="291" t="e">
        <f t="shared" si="5"/>
        <v>#DIV/0!</v>
      </c>
      <c r="Z39" s="287">
        <f>Z40+Z41</f>
        <v>0</v>
      </c>
      <c r="AA39" s="288">
        <f>AA40+AA41</f>
        <v>0</v>
      </c>
      <c r="AB39" s="291" t="e">
        <f t="shared" si="6"/>
        <v>#DIV/0!</v>
      </c>
      <c r="AC39" s="287">
        <f>AC40+AC41</f>
        <v>0</v>
      </c>
      <c r="AD39" s="287">
        <f>AD40+AD41</f>
        <v>0</v>
      </c>
      <c r="AE39" s="292" t="e">
        <f t="shared" si="27"/>
        <v>#DIV/0!</v>
      </c>
      <c r="AF39" s="287">
        <f>AF40+AF41</f>
        <v>0</v>
      </c>
      <c r="AG39" s="288">
        <f>AG40+AG41</f>
        <v>0</v>
      </c>
      <c r="AH39" s="293" t="e">
        <f t="shared" si="8"/>
        <v>#DIV/0!</v>
      </c>
      <c r="AI39" s="287">
        <f>AI40+AI41</f>
        <v>0</v>
      </c>
      <c r="AJ39" s="288">
        <f>AJ40+AJ41</f>
        <v>0</v>
      </c>
      <c r="AK39" s="294" t="e">
        <f t="shared" si="9"/>
        <v>#DIV/0!</v>
      </c>
      <c r="AL39" s="287">
        <f>AL40+AL41</f>
        <v>0</v>
      </c>
      <c r="AM39" s="287">
        <f>AM40+AM41</f>
        <v>0</v>
      </c>
      <c r="AN39" s="295" t="e">
        <f t="shared" si="10"/>
        <v>#DIV/0!</v>
      </c>
      <c r="AO39" s="287">
        <f>AO40+AO41</f>
        <v>0</v>
      </c>
      <c r="AP39" s="287">
        <f>AP40+AP41</f>
        <v>0</v>
      </c>
      <c r="AQ39" s="292" t="e">
        <f t="shared" si="28"/>
        <v>#DIV/0!</v>
      </c>
      <c r="AR39" s="287"/>
      <c r="AS39" s="287"/>
      <c r="AT39" s="295" t="e">
        <f t="shared" si="13"/>
        <v>#DIV/0!</v>
      </c>
      <c r="AU39" s="287"/>
      <c r="AV39" s="287"/>
      <c r="AW39" s="295" t="e">
        <f t="shared" si="14"/>
        <v>#DIV/0!</v>
      </c>
      <c r="AX39" s="287">
        <f>AX40+AX41</f>
        <v>0</v>
      </c>
      <c r="AY39" s="288">
        <f>AY40+AY41</f>
        <v>0</v>
      </c>
      <c r="AZ39" s="294" t="e">
        <f t="shared" si="15"/>
        <v>#DIV/0!</v>
      </c>
      <c r="BA39" s="287">
        <f>BA40+BA41</f>
        <v>0</v>
      </c>
      <c r="BB39" s="287">
        <f>BB40+BB41</f>
        <v>0</v>
      </c>
      <c r="BC39" s="292" t="e">
        <f t="shared" si="29"/>
        <v>#DIV/0!</v>
      </c>
      <c r="BD39" s="288">
        <f>BD40+BD41</f>
        <v>0</v>
      </c>
      <c r="BE39" s="296">
        <f t="shared" si="17"/>
        <v>0</v>
      </c>
      <c r="BF39" s="297">
        <f t="shared" si="21"/>
        <v>600000</v>
      </c>
    </row>
    <row r="40" spans="1:58" ht="13.5" thickBot="1">
      <c r="A40" s="286">
        <v>2</v>
      </c>
      <c r="B40" s="231">
        <v>1</v>
      </c>
      <c r="C40" s="231">
        <v>3</v>
      </c>
      <c r="D40" s="231">
        <v>1</v>
      </c>
      <c r="E40" s="402" t="s">
        <v>149</v>
      </c>
      <c r="F40" s="90" t="s">
        <v>128</v>
      </c>
      <c r="G40" s="300">
        <v>200000</v>
      </c>
      <c r="H40" s="300"/>
      <c r="I40" s="304"/>
      <c r="J40" s="301" t="e">
        <f t="shared" si="0"/>
        <v>#DIV/0!</v>
      </c>
      <c r="K40" s="302"/>
      <c r="L40" s="300"/>
      <c r="M40" s="291" t="e">
        <f t="shared" si="2"/>
        <v>#DIV/0!</v>
      </c>
      <c r="N40" s="300"/>
      <c r="O40" s="300"/>
      <c r="P40" s="291" t="e">
        <f t="shared" si="3"/>
        <v>#DIV/0!</v>
      </c>
      <c r="Q40" s="280">
        <f>N40+K40+H40</f>
        <v>0</v>
      </c>
      <c r="R40" s="280">
        <f>O40+L40+I40</f>
        <v>0</v>
      </c>
      <c r="S40" s="292" t="e">
        <f t="shared" si="20"/>
        <v>#DIV/0!</v>
      </c>
      <c r="T40" s="300"/>
      <c r="U40" s="304"/>
      <c r="V40" s="291" t="e">
        <f t="shared" si="4"/>
        <v>#DIV/0!</v>
      </c>
      <c r="W40" s="300"/>
      <c r="X40" s="304"/>
      <c r="Y40" s="291" t="e">
        <f t="shared" si="5"/>
        <v>#DIV/0!</v>
      </c>
      <c r="Z40" s="300"/>
      <c r="AA40" s="304"/>
      <c r="AB40" s="291" t="e">
        <f t="shared" si="6"/>
        <v>#DIV/0!</v>
      </c>
      <c r="AC40" s="280">
        <f>Z40+W40+T40</f>
        <v>0</v>
      </c>
      <c r="AD40" s="280">
        <f>AA40+X40+U40</f>
        <v>0</v>
      </c>
      <c r="AE40" s="292" t="e">
        <f t="shared" si="27"/>
        <v>#DIV/0!</v>
      </c>
      <c r="AF40" s="300"/>
      <c r="AG40" s="304"/>
      <c r="AH40" s="293" t="e">
        <f t="shared" si="8"/>
        <v>#DIV/0!</v>
      </c>
      <c r="AI40" s="300"/>
      <c r="AJ40" s="304"/>
      <c r="AK40" s="294" t="e">
        <f t="shared" si="9"/>
        <v>#DIV/0!</v>
      </c>
      <c r="AL40" s="90"/>
      <c r="AM40" s="90"/>
      <c r="AN40" s="295" t="e">
        <f t="shared" si="10"/>
        <v>#DIV/0!</v>
      </c>
      <c r="AO40" s="300">
        <f>AL40+AI40+AF40</f>
        <v>0</v>
      </c>
      <c r="AP40" s="300">
        <f>AM40+AJ40+AG40</f>
        <v>0</v>
      </c>
      <c r="AQ40" s="292" t="e">
        <f t="shared" si="28"/>
        <v>#DIV/0!</v>
      </c>
      <c r="AR40" s="300"/>
      <c r="AS40" s="300"/>
      <c r="AT40" s="295" t="e">
        <f t="shared" si="13"/>
        <v>#DIV/0!</v>
      </c>
      <c r="AU40" s="300"/>
      <c r="AV40" s="300"/>
      <c r="AW40" s="295" t="e">
        <f t="shared" si="14"/>
        <v>#DIV/0!</v>
      </c>
      <c r="AX40" s="300"/>
      <c r="AY40" s="304"/>
      <c r="AZ40" s="294" t="e">
        <f t="shared" si="15"/>
        <v>#DIV/0!</v>
      </c>
      <c r="BA40" s="280">
        <f>AX40+AU40+AR40</f>
        <v>0</v>
      </c>
      <c r="BB40" s="280">
        <f>AY40+AV40+AS40</f>
        <v>0</v>
      </c>
      <c r="BC40" s="292" t="e">
        <f t="shared" si="29"/>
        <v>#DIV/0!</v>
      </c>
      <c r="BD40" s="304">
        <f>I40+L40+O40+U40+X40+AA40+AG40+AJ40+AM40+AS40+AV40+AY40</f>
        <v>0</v>
      </c>
      <c r="BE40" s="296">
        <f t="shared" si="17"/>
        <v>0</v>
      </c>
      <c r="BF40" s="308">
        <f t="shared" si="21"/>
        <v>200000</v>
      </c>
    </row>
    <row r="41" spans="1:58" ht="19.5" thickBot="1">
      <c r="A41" s="286">
        <v>2</v>
      </c>
      <c r="B41" s="231">
        <v>1</v>
      </c>
      <c r="C41" s="231">
        <v>3</v>
      </c>
      <c r="D41" s="231">
        <v>1</v>
      </c>
      <c r="E41" s="402" t="s">
        <v>150</v>
      </c>
      <c r="F41" s="90" t="s">
        <v>25</v>
      </c>
      <c r="G41" s="300">
        <v>400000</v>
      </c>
      <c r="H41" s="300"/>
      <c r="I41" s="304"/>
      <c r="J41" s="301" t="e">
        <f t="shared" si="0"/>
        <v>#DIV/0!</v>
      </c>
      <c r="K41" s="302"/>
      <c r="L41" s="300"/>
      <c r="M41" s="291" t="e">
        <f t="shared" si="2"/>
        <v>#DIV/0!</v>
      </c>
      <c r="N41" s="300"/>
      <c r="O41" s="300"/>
      <c r="P41" s="291" t="e">
        <f t="shared" si="3"/>
        <v>#DIV/0!</v>
      </c>
      <c r="Q41" s="280">
        <f>N41+K41+H41</f>
        <v>0</v>
      </c>
      <c r="R41" s="280">
        <f>O41+L41+I41</f>
        <v>0</v>
      </c>
      <c r="S41" s="292" t="e">
        <f t="shared" si="20"/>
        <v>#DIV/0!</v>
      </c>
      <c r="T41" s="300"/>
      <c r="U41" s="304"/>
      <c r="V41" s="291" t="e">
        <f t="shared" si="4"/>
        <v>#DIV/0!</v>
      </c>
      <c r="W41" s="300"/>
      <c r="X41" s="304"/>
      <c r="Y41" s="291" t="e">
        <f t="shared" si="5"/>
        <v>#DIV/0!</v>
      </c>
      <c r="Z41" s="300"/>
      <c r="AA41" s="304"/>
      <c r="AB41" s="291" t="e">
        <f t="shared" si="6"/>
        <v>#DIV/0!</v>
      </c>
      <c r="AC41" s="280">
        <f>Z41+W41+T41</f>
        <v>0</v>
      </c>
      <c r="AD41" s="280">
        <f>AA41+X41+U41</f>
        <v>0</v>
      </c>
      <c r="AE41" s="292" t="e">
        <f t="shared" si="27"/>
        <v>#DIV/0!</v>
      </c>
      <c r="AF41" s="300"/>
      <c r="AG41" s="304"/>
      <c r="AH41" s="293" t="e">
        <f t="shared" si="8"/>
        <v>#DIV/0!</v>
      </c>
      <c r="AI41" s="300"/>
      <c r="AJ41" s="304"/>
      <c r="AK41" s="294" t="e">
        <f t="shared" si="9"/>
        <v>#DIV/0!</v>
      </c>
      <c r="AL41" s="90"/>
      <c r="AM41" s="90"/>
      <c r="AN41" s="295" t="e">
        <f t="shared" si="10"/>
        <v>#DIV/0!</v>
      </c>
      <c r="AO41" s="300">
        <f>AL41+AI41+AF41</f>
        <v>0</v>
      </c>
      <c r="AP41" s="300">
        <f>AM41+AJ41+AG41</f>
        <v>0</v>
      </c>
      <c r="AQ41" s="292" t="e">
        <f t="shared" si="28"/>
        <v>#DIV/0!</v>
      </c>
      <c r="AR41" s="300"/>
      <c r="AS41" s="300"/>
      <c r="AT41" s="295" t="e">
        <f t="shared" si="13"/>
        <v>#DIV/0!</v>
      </c>
      <c r="AU41" s="300"/>
      <c r="AV41" s="300"/>
      <c r="AW41" s="295" t="e">
        <f t="shared" si="14"/>
        <v>#DIV/0!</v>
      </c>
      <c r="AX41" s="300"/>
      <c r="AY41" s="304"/>
      <c r="AZ41" s="294" t="e">
        <f t="shared" si="15"/>
        <v>#DIV/0!</v>
      </c>
      <c r="BA41" s="280">
        <f>AX41+AU41+AR41</f>
        <v>0</v>
      </c>
      <c r="BB41" s="280">
        <f>AY41+AV41+AS41</f>
        <v>0</v>
      </c>
      <c r="BC41" s="292" t="e">
        <f t="shared" si="29"/>
        <v>#DIV/0!</v>
      </c>
      <c r="BD41" s="304">
        <f>I41+L41+O41+U41+X41+AA41+AG41+AJ41+AM41+AS41+AV41+AY41</f>
        <v>0</v>
      </c>
      <c r="BE41" s="296">
        <f>BD41/G41</f>
        <v>0</v>
      </c>
      <c r="BF41" s="308">
        <f>G41-(I41+L41+O41+U41+X41+AA41+AG41+AJ41+AM41+AS41+AV41+AY41)</f>
        <v>400000</v>
      </c>
    </row>
    <row r="42" spans="1:58" ht="13.5" thickBot="1">
      <c r="A42" s="286">
        <v>2</v>
      </c>
      <c r="B42" s="231">
        <v>1</v>
      </c>
      <c r="C42" s="231">
        <v>3</v>
      </c>
      <c r="D42" s="231">
        <v>2</v>
      </c>
      <c r="E42" s="404"/>
      <c r="F42" s="155" t="s">
        <v>213</v>
      </c>
      <c r="G42" s="287">
        <f>G43</f>
        <v>0</v>
      </c>
      <c r="H42" s="287">
        <f>H43</f>
        <v>0</v>
      </c>
      <c r="I42" s="287">
        <f>I43</f>
        <v>22650</v>
      </c>
      <c r="J42" s="289"/>
      <c r="K42" s="287">
        <f>K43</f>
        <v>0</v>
      </c>
      <c r="L42" s="287">
        <f>L43</f>
        <v>0</v>
      </c>
      <c r="M42" s="291"/>
      <c r="N42" s="287">
        <f>N43</f>
        <v>0</v>
      </c>
      <c r="O42" s="287">
        <f>O43</f>
        <v>0</v>
      </c>
      <c r="P42" s="291"/>
      <c r="Q42" s="287">
        <f>Q43</f>
        <v>0</v>
      </c>
      <c r="R42" s="287">
        <f>R43</f>
        <v>22650</v>
      </c>
      <c r="S42" s="310"/>
      <c r="T42" s="287">
        <f>T43</f>
        <v>0</v>
      </c>
      <c r="U42" s="287">
        <f>U43</f>
        <v>0</v>
      </c>
      <c r="V42" s="291"/>
      <c r="W42" s="287">
        <f>W43</f>
        <v>0</v>
      </c>
      <c r="X42" s="287">
        <f>X43</f>
        <v>0</v>
      </c>
      <c r="Y42" s="291"/>
      <c r="Z42" s="287">
        <f>Z43</f>
        <v>0</v>
      </c>
      <c r="AA42" s="287">
        <f>AA43</f>
        <v>0</v>
      </c>
      <c r="AB42" s="291"/>
      <c r="AC42" s="311">
        <f>AC43</f>
        <v>0</v>
      </c>
      <c r="AD42" s="311">
        <f>AD43</f>
        <v>0</v>
      </c>
      <c r="AE42" s="310"/>
      <c r="AF42" s="287">
        <f>AF43</f>
        <v>0</v>
      </c>
      <c r="AG42" s="287">
        <f>AG43</f>
        <v>0</v>
      </c>
      <c r="AH42" s="293"/>
      <c r="AI42" s="287">
        <f>AI43</f>
        <v>0</v>
      </c>
      <c r="AJ42" s="287">
        <f>AJ43</f>
        <v>0</v>
      </c>
      <c r="AK42" s="294"/>
      <c r="AL42" s="287">
        <f>AL43</f>
        <v>0</v>
      </c>
      <c r="AM42" s="287">
        <f>AM43</f>
        <v>0</v>
      </c>
      <c r="AN42" s="295"/>
      <c r="AO42" s="287">
        <f>AO43</f>
        <v>0</v>
      </c>
      <c r="AP42" s="287">
        <f>AP43</f>
        <v>0</v>
      </c>
      <c r="AQ42" s="310"/>
      <c r="AR42" s="287">
        <f>AR43</f>
        <v>0</v>
      </c>
      <c r="AS42" s="287">
        <f>AS43</f>
        <v>0</v>
      </c>
      <c r="AT42" s="295"/>
      <c r="AU42" s="287">
        <f>AU43</f>
        <v>0</v>
      </c>
      <c r="AV42" s="287">
        <f>AV43</f>
        <v>0</v>
      </c>
      <c r="AW42" s="295"/>
      <c r="AX42" s="287">
        <f>AX43</f>
        <v>0</v>
      </c>
      <c r="AY42" s="287">
        <f>AY43</f>
        <v>0</v>
      </c>
      <c r="AZ42" s="294"/>
      <c r="BA42" s="287">
        <f>BA43</f>
        <v>0</v>
      </c>
      <c r="BB42" s="287">
        <f>BB43</f>
        <v>0</v>
      </c>
      <c r="BC42" s="310"/>
      <c r="BD42" s="287">
        <f>BD43</f>
        <v>22650</v>
      </c>
      <c r="BE42" s="296" t="e">
        <f>BD42/G42</f>
        <v>#DIV/0!</v>
      </c>
      <c r="BF42" s="312">
        <f>BF43</f>
        <v>-22650</v>
      </c>
    </row>
    <row r="43" spans="1:58" ht="13.5" thickBot="1">
      <c r="A43" s="298">
        <v>2</v>
      </c>
      <c r="B43" s="299">
        <v>1</v>
      </c>
      <c r="C43" s="299">
        <v>3</v>
      </c>
      <c r="D43" s="299">
        <v>2.01</v>
      </c>
      <c r="E43" s="402" t="s">
        <v>149</v>
      </c>
      <c r="F43" s="90" t="s">
        <v>214</v>
      </c>
      <c r="G43" s="300"/>
      <c r="H43" s="300"/>
      <c r="I43" s="304">
        <v>22650</v>
      </c>
      <c r="J43" s="301"/>
      <c r="K43" s="302"/>
      <c r="L43" s="300"/>
      <c r="M43" s="303"/>
      <c r="N43" s="300"/>
      <c r="O43" s="300"/>
      <c r="P43" s="303"/>
      <c r="Q43" s="280"/>
      <c r="R43" s="280">
        <f>O43+L43+I43</f>
        <v>22650</v>
      </c>
      <c r="S43" s="292"/>
      <c r="T43" s="300"/>
      <c r="U43" s="304"/>
      <c r="V43" s="303"/>
      <c r="W43" s="300"/>
      <c r="X43" s="304"/>
      <c r="Y43" s="303"/>
      <c r="Z43" s="300"/>
      <c r="AA43" s="304"/>
      <c r="AB43" s="303"/>
      <c r="AC43" s="280"/>
      <c r="AD43" s="280">
        <f>AA43+X43+U43</f>
        <v>0</v>
      </c>
      <c r="AE43" s="292"/>
      <c r="AF43" s="300"/>
      <c r="AG43" s="304"/>
      <c r="AH43" s="305"/>
      <c r="AI43" s="300"/>
      <c r="AJ43" s="304"/>
      <c r="AK43" s="306"/>
      <c r="AL43" s="90"/>
      <c r="AM43" s="90"/>
      <c r="AN43" s="307"/>
      <c r="AO43" s="300"/>
      <c r="AP43" s="300"/>
      <c r="AQ43" s="280">
        <f>AN43+AK43+AH43</f>
        <v>0</v>
      </c>
      <c r="AR43" s="300"/>
      <c r="AS43" s="300"/>
      <c r="AT43" s="307"/>
      <c r="AU43" s="300"/>
      <c r="AV43" s="300"/>
      <c r="AW43" s="307"/>
      <c r="AX43" s="300"/>
      <c r="AY43" s="304"/>
      <c r="AZ43" s="306"/>
      <c r="BA43" s="280"/>
      <c r="BB43" s="280">
        <f>AY43+AV43+AS43</f>
        <v>0</v>
      </c>
      <c r="BC43" s="292"/>
      <c r="BD43" s="304">
        <f>I43+L43+O43+U43+X43+AA43+AG43+AJ43+AM43+AS43+AV43+AY43</f>
        <v>22650</v>
      </c>
      <c r="BE43" s="296" t="e">
        <f>BD43/G43</f>
        <v>#DIV/0!</v>
      </c>
      <c r="BF43" s="309">
        <f>G43-(I43+L43+O43+U43+X43+AA43+AG43+AJ43+AM43+AS43+AV43+AY43)</f>
        <v>-22650</v>
      </c>
    </row>
    <row r="44" spans="1:58" ht="13.5" thickBot="1">
      <c r="A44" s="286">
        <v>2</v>
      </c>
      <c r="B44" s="231">
        <v>1</v>
      </c>
      <c r="C44" s="231">
        <v>5</v>
      </c>
      <c r="D44" s="299"/>
      <c r="E44" s="403"/>
      <c r="F44" s="155" t="s">
        <v>26</v>
      </c>
      <c r="G44" s="287">
        <f>G45+G46+G47</f>
        <v>2725000</v>
      </c>
      <c r="H44" s="287">
        <f>H45+H46+H47</f>
        <v>0</v>
      </c>
      <c r="I44" s="288">
        <f>I45+I46+I47</f>
        <v>0</v>
      </c>
      <c r="J44" s="289" t="e">
        <f t="shared" si="0"/>
        <v>#DIV/0!</v>
      </c>
      <c r="K44" s="290">
        <f>K45+K46+K47</f>
        <v>0</v>
      </c>
      <c r="L44" s="287">
        <f>L45+L46+L47</f>
        <v>0</v>
      </c>
      <c r="M44" s="291" t="e">
        <f t="shared" si="2"/>
        <v>#DIV/0!</v>
      </c>
      <c r="N44" s="287">
        <f>N45+N46+N47</f>
        <v>0</v>
      </c>
      <c r="O44" s="287">
        <f>O45+O46+O47</f>
        <v>0</v>
      </c>
      <c r="P44" s="291" t="e">
        <f t="shared" si="3"/>
        <v>#DIV/0!</v>
      </c>
      <c r="Q44" s="287">
        <f>Q45+Q46+Q47</f>
        <v>0</v>
      </c>
      <c r="R44" s="287">
        <f>R45+R46+R47</f>
        <v>0</v>
      </c>
      <c r="S44" s="292" t="e">
        <f t="shared" si="20"/>
        <v>#DIV/0!</v>
      </c>
      <c r="T44" s="287">
        <f>T45+T46+T47</f>
        <v>0</v>
      </c>
      <c r="U44" s="288">
        <f>U45+U46+U47</f>
        <v>0</v>
      </c>
      <c r="V44" s="291" t="e">
        <f t="shared" si="4"/>
        <v>#DIV/0!</v>
      </c>
      <c r="W44" s="287">
        <f>W45+W46+W47</f>
        <v>0</v>
      </c>
      <c r="X44" s="288">
        <f>X45+X46+X47</f>
        <v>0</v>
      </c>
      <c r="Y44" s="291" t="e">
        <f t="shared" si="5"/>
        <v>#DIV/0!</v>
      </c>
      <c r="Z44" s="287">
        <f>Z45+Z46+Z47</f>
        <v>0</v>
      </c>
      <c r="AA44" s="288">
        <f>AA45+AA46+AA47</f>
        <v>0</v>
      </c>
      <c r="AB44" s="291" t="e">
        <f t="shared" si="6"/>
        <v>#DIV/0!</v>
      </c>
      <c r="AC44" s="287">
        <f>AC45+AC46+AC47</f>
        <v>0</v>
      </c>
      <c r="AD44" s="287">
        <f>AD45+AD46+AD47</f>
        <v>0</v>
      </c>
      <c r="AE44" s="292" t="e">
        <f>AD44/AC44</f>
        <v>#DIV/0!</v>
      </c>
      <c r="AF44" s="287">
        <f>AF45+AF46+AF47</f>
        <v>0</v>
      </c>
      <c r="AG44" s="288">
        <f>AG45+AG46+AG47</f>
        <v>0</v>
      </c>
      <c r="AH44" s="293" t="e">
        <f t="shared" si="8"/>
        <v>#DIV/0!</v>
      </c>
      <c r="AI44" s="287">
        <f>AI45+AI46+AI47</f>
        <v>0</v>
      </c>
      <c r="AJ44" s="288">
        <f>AJ45+AJ46+AJ47</f>
        <v>0</v>
      </c>
      <c r="AK44" s="294" t="e">
        <f t="shared" si="9"/>
        <v>#DIV/0!</v>
      </c>
      <c r="AL44" s="287">
        <f>AL45+AL46+AL47</f>
        <v>0</v>
      </c>
      <c r="AM44" s="287">
        <f>AM45+AM46+AM47</f>
        <v>0</v>
      </c>
      <c r="AN44" s="295" t="e">
        <f t="shared" si="10"/>
        <v>#DIV/0!</v>
      </c>
      <c r="AO44" s="287">
        <f>AO45+AO46+AO47</f>
        <v>0</v>
      </c>
      <c r="AP44" s="287">
        <f>AP45+AP46+AP47</f>
        <v>0</v>
      </c>
      <c r="AQ44" s="292" t="e">
        <f>AP44/AO44</f>
        <v>#DIV/0!</v>
      </c>
      <c r="AR44" s="287"/>
      <c r="AS44" s="287"/>
      <c r="AT44" s="295" t="e">
        <f t="shared" si="13"/>
        <v>#DIV/0!</v>
      </c>
      <c r="AU44" s="287"/>
      <c r="AV44" s="287"/>
      <c r="AW44" s="295" t="e">
        <f t="shared" si="14"/>
        <v>#DIV/0!</v>
      </c>
      <c r="AX44" s="287">
        <f>AX45+AX46+AX47</f>
        <v>0</v>
      </c>
      <c r="AY44" s="288">
        <f>AY45+AY46+AY47</f>
        <v>0</v>
      </c>
      <c r="AZ44" s="294" t="e">
        <f t="shared" si="15"/>
        <v>#DIV/0!</v>
      </c>
      <c r="BA44" s="287">
        <f>BA45+BA46+BA47</f>
        <v>0</v>
      </c>
      <c r="BB44" s="287">
        <f>BB45+BB46+BB47</f>
        <v>0</v>
      </c>
      <c r="BC44" s="292" t="e">
        <f>BB44/BA44</f>
        <v>#DIV/0!</v>
      </c>
      <c r="BD44" s="288">
        <f>BD45+BD46+BD47</f>
        <v>0</v>
      </c>
      <c r="BE44" s="296">
        <f t="shared" si="17"/>
        <v>0</v>
      </c>
      <c r="BF44" s="297">
        <f t="shared" si="21"/>
        <v>2725000</v>
      </c>
    </row>
    <row r="45" spans="1:58" ht="13.5" thickBot="1">
      <c r="A45" s="286">
        <v>2</v>
      </c>
      <c r="B45" s="231">
        <v>1</v>
      </c>
      <c r="C45" s="231">
        <v>5</v>
      </c>
      <c r="D45" s="231">
        <v>1</v>
      </c>
      <c r="E45" s="401"/>
      <c r="F45" s="155" t="s">
        <v>11</v>
      </c>
      <c r="G45" s="287">
        <v>1300000</v>
      </c>
      <c r="H45" s="287"/>
      <c r="I45" s="288"/>
      <c r="J45" s="289" t="e">
        <f t="shared" si="0"/>
        <v>#DIV/0!</v>
      </c>
      <c r="K45" s="290"/>
      <c r="L45" s="287"/>
      <c r="M45" s="291" t="e">
        <f t="shared" si="2"/>
        <v>#DIV/0!</v>
      </c>
      <c r="N45" s="287"/>
      <c r="O45" s="287"/>
      <c r="P45" s="291" t="e">
        <f t="shared" si="3"/>
        <v>#DIV/0!</v>
      </c>
      <c r="Q45" s="280">
        <f aca="true" t="shared" si="34" ref="Q45:R47">N45+K45+H45</f>
        <v>0</v>
      </c>
      <c r="R45" s="280">
        <f t="shared" si="34"/>
        <v>0</v>
      </c>
      <c r="S45" s="292" t="e">
        <f t="shared" si="20"/>
        <v>#DIV/0!</v>
      </c>
      <c r="T45" s="287"/>
      <c r="U45" s="288"/>
      <c r="V45" s="291" t="e">
        <f t="shared" si="4"/>
        <v>#DIV/0!</v>
      </c>
      <c r="W45" s="287"/>
      <c r="X45" s="288"/>
      <c r="Y45" s="291" t="e">
        <f t="shared" si="5"/>
        <v>#DIV/0!</v>
      </c>
      <c r="Z45" s="287"/>
      <c r="AA45" s="288"/>
      <c r="AB45" s="291" t="e">
        <f t="shared" si="6"/>
        <v>#DIV/0!</v>
      </c>
      <c r="AC45" s="280">
        <f aca="true" t="shared" si="35" ref="AC45:AD47">Z45+W45+T45</f>
        <v>0</v>
      </c>
      <c r="AD45" s="280">
        <f t="shared" si="35"/>
        <v>0</v>
      </c>
      <c r="AE45" s="292" t="e">
        <f>AD45/AC45</f>
        <v>#DIV/0!</v>
      </c>
      <c r="AF45" s="287"/>
      <c r="AG45" s="288"/>
      <c r="AH45" s="293" t="e">
        <f t="shared" si="8"/>
        <v>#DIV/0!</v>
      </c>
      <c r="AI45" s="287"/>
      <c r="AJ45" s="288"/>
      <c r="AK45" s="294" t="e">
        <f t="shared" si="9"/>
        <v>#DIV/0!</v>
      </c>
      <c r="AL45" s="155"/>
      <c r="AM45" s="155"/>
      <c r="AN45" s="295" t="e">
        <f t="shared" si="10"/>
        <v>#DIV/0!</v>
      </c>
      <c r="AO45" s="300">
        <f aca="true" t="shared" si="36" ref="AO45:AP47">AL45+AI45+AF45</f>
        <v>0</v>
      </c>
      <c r="AP45" s="300">
        <f t="shared" si="36"/>
        <v>0</v>
      </c>
      <c r="AQ45" s="292" t="e">
        <f>AP45/AO45</f>
        <v>#DIV/0!</v>
      </c>
      <c r="AR45" s="287"/>
      <c r="AS45" s="287"/>
      <c r="AT45" s="295" t="e">
        <f t="shared" si="13"/>
        <v>#DIV/0!</v>
      </c>
      <c r="AU45" s="287"/>
      <c r="AV45" s="287"/>
      <c r="AW45" s="295" t="e">
        <f t="shared" si="14"/>
        <v>#DIV/0!</v>
      </c>
      <c r="AX45" s="287"/>
      <c r="AY45" s="288"/>
      <c r="AZ45" s="294" t="e">
        <f t="shared" si="15"/>
        <v>#DIV/0!</v>
      </c>
      <c r="BA45" s="280">
        <f aca="true" t="shared" si="37" ref="BA45:BB47">AX45+AU45+AR45</f>
        <v>0</v>
      </c>
      <c r="BB45" s="280">
        <f t="shared" si="37"/>
        <v>0</v>
      </c>
      <c r="BC45" s="292" t="e">
        <f>BB45/BA45</f>
        <v>#DIV/0!</v>
      </c>
      <c r="BD45" s="304">
        <f>I45+L45+O45+U45+X45+AA45+AG45+AJ45+AM45+AS45+AV45+AY45</f>
        <v>0</v>
      </c>
      <c r="BE45" s="296">
        <f t="shared" si="17"/>
        <v>0</v>
      </c>
      <c r="BF45" s="297">
        <f t="shared" si="21"/>
        <v>1300000</v>
      </c>
    </row>
    <row r="46" spans="1:58" ht="13.5" thickBot="1">
      <c r="A46" s="286">
        <v>2</v>
      </c>
      <c r="B46" s="231">
        <v>1</v>
      </c>
      <c r="C46" s="231">
        <v>5</v>
      </c>
      <c r="D46" s="231">
        <v>2</v>
      </c>
      <c r="E46" s="401"/>
      <c r="F46" s="155" t="s">
        <v>27</v>
      </c>
      <c r="G46" s="287">
        <v>1300000</v>
      </c>
      <c r="H46" s="287"/>
      <c r="I46" s="288"/>
      <c r="J46" s="289" t="e">
        <f t="shared" si="0"/>
        <v>#DIV/0!</v>
      </c>
      <c r="K46" s="290"/>
      <c r="L46" s="287"/>
      <c r="M46" s="291" t="e">
        <f t="shared" si="2"/>
        <v>#DIV/0!</v>
      </c>
      <c r="N46" s="287"/>
      <c r="O46" s="287"/>
      <c r="P46" s="291" t="e">
        <f t="shared" si="3"/>
        <v>#DIV/0!</v>
      </c>
      <c r="Q46" s="280">
        <f t="shared" si="34"/>
        <v>0</v>
      </c>
      <c r="R46" s="280">
        <f t="shared" si="34"/>
        <v>0</v>
      </c>
      <c r="S46" s="292" t="e">
        <f t="shared" si="20"/>
        <v>#DIV/0!</v>
      </c>
      <c r="T46" s="287"/>
      <c r="U46" s="288"/>
      <c r="V46" s="291" t="e">
        <f t="shared" si="4"/>
        <v>#DIV/0!</v>
      </c>
      <c r="W46" s="287"/>
      <c r="X46" s="288"/>
      <c r="Y46" s="291" t="e">
        <f t="shared" si="5"/>
        <v>#DIV/0!</v>
      </c>
      <c r="Z46" s="287"/>
      <c r="AA46" s="288"/>
      <c r="AB46" s="291" t="e">
        <f t="shared" si="6"/>
        <v>#DIV/0!</v>
      </c>
      <c r="AC46" s="280">
        <f t="shared" si="35"/>
        <v>0</v>
      </c>
      <c r="AD46" s="280">
        <f t="shared" si="35"/>
        <v>0</v>
      </c>
      <c r="AE46" s="292" t="e">
        <f>AD46/AC46</f>
        <v>#DIV/0!</v>
      </c>
      <c r="AF46" s="287"/>
      <c r="AG46" s="288"/>
      <c r="AH46" s="293" t="e">
        <f t="shared" si="8"/>
        <v>#DIV/0!</v>
      </c>
      <c r="AI46" s="287"/>
      <c r="AJ46" s="288"/>
      <c r="AK46" s="294" t="e">
        <f t="shared" si="9"/>
        <v>#DIV/0!</v>
      </c>
      <c r="AL46" s="155"/>
      <c r="AM46" s="155"/>
      <c r="AN46" s="295" t="e">
        <f t="shared" si="10"/>
        <v>#DIV/0!</v>
      </c>
      <c r="AO46" s="300">
        <f t="shared" si="36"/>
        <v>0</v>
      </c>
      <c r="AP46" s="300">
        <f t="shared" si="36"/>
        <v>0</v>
      </c>
      <c r="AQ46" s="292" t="e">
        <f>AP46/AO46</f>
        <v>#DIV/0!</v>
      </c>
      <c r="AR46" s="287"/>
      <c r="AS46" s="287"/>
      <c r="AT46" s="295" t="e">
        <f t="shared" si="13"/>
        <v>#DIV/0!</v>
      </c>
      <c r="AU46" s="287"/>
      <c r="AV46" s="287"/>
      <c r="AW46" s="295" t="e">
        <f t="shared" si="14"/>
        <v>#DIV/0!</v>
      </c>
      <c r="AX46" s="287"/>
      <c r="AY46" s="288"/>
      <c r="AZ46" s="294" t="e">
        <f t="shared" si="15"/>
        <v>#DIV/0!</v>
      </c>
      <c r="BA46" s="280">
        <f t="shared" si="37"/>
        <v>0</v>
      </c>
      <c r="BB46" s="280">
        <f t="shared" si="37"/>
        <v>0</v>
      </c>
      <c r="BC46" s="292" t="e">
        <f>BB46/BA46</f>
        <v>#DIV/0!</v>
      </c>
      <c r="BD46" s="304">
        <f>I46+L46+O46+U46+X46+AA46+AG46+AJ46+AM46+AS46+AV46+AY46</f>
        <v>0</v>
      </c>
      <c r="BE46" s="296">
        <f t="shared" si="17"/>
        <v>0</v>
      </c>
      <c r="BF46" s="297">
        <f t="shared" si="21"/>
        <v>1300000</v>
      </c>
    </row>
    <row r="47" spans="1:58" ht="13.5" thickBot="1">
      <c r="A47" s="286">
        <v>2</v>
      </c>
      <c r="B47" s="231">
        <v>1</v>
      </c>
      <c r="C47" s="231">
        <v>5</v>
      </c>
      <c r="D47" s="231">
        <v>3</v>
      </c>
      <c r="E47" s="401"/>
      <c r="F47" s="155" t="s">
        <v>28</v>
      </c>
      <c r="G47" s="287">
        <v>125000</v>
      </c>
      <c r="H47" s="287"/>
      <c r="I47" s="288"/>
      <c r="J47" s="289" t="e">
        <f t="shared" si="0"/>
        <v>#DIV/0!</v>
      </c>
      <c r="K47" s="290"/>
      <c r="L47" s="287"/>
      <c r="M47" s="291" t="e">
        <f t="shared" si="2"/>
        <v>#DIV/0!</v>
      </c>
      <c r="N47" s="287"/>
      <c r="O47" s="287"/>
      <c r="P47" s="291" t="e">
        <f t="shared" si="3"/>
        <v>#DIV/0!</v>
      </c>
      <c r="Q47" s="280">
        <f t="shared" si="34"/>
        <v>0</v>
      </c>
      <c r="R47" s="280">
        <f t="shared" si="34"/>
        <v>0</v>
      </c>
      <c r="S47" s="292" t="e">
        <f t="shared" si="20"/>
        <v>#DIV/0!</v>
      </c>
      <c r="T47" s="287"/>
      <c r="U47" s="288"/>
      <c r="V47" s="291" t="e">
        <f t="shared" si="4"/>
        <v>#DIV/0!</v>
      </c>
      <c r="W47" s="287"/>
      <c r="X47" s="288"/>
      <c r="Y47" s="291" t="e">
        <f t="shared" si="5"/>
        <v>#DIV/0!</v>
      </c>
      <c r="Z47" s="287"/>
      <c r="AA47" s="288"/>
      <c r="AB47" s="291" t="e">
        <f t="shared" si="6"/>
        <v>#DIV/0!</v>
      </c>
      <c r="AC47" s="280">
        <f t="shared" si="35"/>
        <v>0</v>
      </c>
      <c r="AD47" s="280">
        <f t="shared" si="35"/>
        <v>0</v>
      </c>
      <c r="AE47" s="292" t="e">
        <f>AD47/AC47</f>
        <v>#DIV/0!</v>
      </c>
      <c r="AF47" s="287"/>
      <c r="AG47" s="288"/>
      <c r="AH47" s="293" t="e">
        <f t="shared" si="8"/>
        <v>#DIV/0!</v>
      </c>
      <c r="AI47" s="287"/>
      <c r="AJ47" s="288"/>
      <c r="AK47" s="294" t="e">
        <f t="shared" si="9"/>
        <v>#DIV/0!</v>
      </c>
      <c r="AL47" s="155"/>
      <c r="AM47" s="155"/>
      <c r="AN47" s="295" t="e">
        <f t="shared" si="10"/>
        <v>#DIV/0!</v>
      </c>
      <c r="AO47" s="300">
        <f t="shared" si="36"/>
        <v>0</v>
      </c>
      <c r="AP47" s="300">
        <f t="shared" si="36"/>
        <v>0</v>
      </c>
      <c r="AQ47" s="292" t="e">
        <f>AP47/AO47</f>
        <v>#DIV/0!</v>
      </c>
      <c r="AR47" s="287"/>
      <c r="AS47" s="287"/>
      <c r="AT47" s="295" t="e">
        <f t="shared" si="13"/>
        <v>#DIV/0!</v>
      </c>
      <c r="AU47" s="287"/>
      <c r="AV47" s="287"/>
      <c r="AW47" s="295" t="e">
        <f t="shared" si="14"/>
        <v>#DIV/0!</v>
      </c>
      <c r="AX47" s="287"/>
      <c r="AY47" s="288"/>
      <c r="AZ47" s="294" t="e">
        <f t="shared" si="15"/>
        <v>#DIV/0!</v>
      </c>
      <c r="BA47" s="280">
        <f t="shared" si="37"/>
        <v>0</v>
      </c>
      <c r="BB47" s="280">
        <f t="shared" si="37"/>
        <v>0</v>
      </c>
      <c r="BC47" s="292" t="e">
        <f>BB47/BA47</f>
        <v>#DIV/0!</v>
      </c>
      <c r="BD47" s="304">
        <f>I47+L47+O47+U47+X47+AA47+AG47+AJ47+AM47+AS47+AV47+AY47</f>
        <v>0</v>
      </c>
      <c r="BE47" s="296">
        <f t="shared" si="17"/>
        <v>0</v>
      </c>
      <c r="BF47" s="297">
        <f t="shared" si="21"/>
        <v>125000</v>
      </c>
    </row>
    <row r="48" spans="1:58" ht="13.5" thickBot="1">
      <c r="A48" s="313"/>
      <c r="B48" s="314"/>
      <c r="C48" s="314"/>
      <c r="D48" s="314"/>
      <c r="E48" s="405"/>
      <c r="F48" s="154"/>
      <c r="G48" s="315"/>
      <c r="H48" s="315"/>
      <c r="I48" s="316"/>
      <c r="J48" s="317"/>
      <c r="K48" s="318"/>
      <c r="L48" s="319"/>
      <c r="M48" s="320"/>
      <c r="N48" s="319"/>
      <c r="O48" s="315"/>
      <c r="P48" s="320"/>
      <c r="Q48" s="321"/>
      <c r="R48" s="321"/>
      <c r="S48" s="322"/>
      <c r="T48" s="315"/>
      <c r="U48" s="316"/>
      <c r="V48" s="320"/>
      <c r="W48" s="315"/>
      <c r="X48" s="316"/>
      <c r="Y48" s="320"/>
      <c r="Z48" s="315"/>
      <c r="AA48" s="316"/>
      <c r="AB48" s="320"/>
      <c r="AC48" s="321"/>
      <c r="AD48" s="321"/>
      <c r="AE48" s="322"/>
      <c r="AF48" s="315"/>
      <c r="AG48" s="316"/>
      <c r="AH48" s="293"/>
      <c r="AI48" s="315"/>
      <c r="AJ48" s="316"/>
      <c r="AK48" s="323"/>
      <c r="AL48" s="91"/>
      <c r="AM48" s="91"/>
      <c r="AN48" s="324"/>
      <c r="AO48" s="319"/>
      <c r="AP48" s="319"/>
      <c r="AQ48" s="322"/>
      <c r="AR48" s="319"/>
      <c r="AS48" s="319"/>
      <c r="AT48" s="324"/>
      <c r="AU48" s="319"/>
      <c r="AV48" s="319"/>
      <c r="AW48" s="324"/>
      <c r="AX48" s="319"/>
      <c r="AY48" s="316"/>
      <c r="AZ48" s="323"/>
      <c r="BA48" s="321"/>
      <c r="BB48" s="321"/>
      <c r="BC48" s="322"/>
      <c r="BD48" s="325"/>
      <c r="BE48" s="284"/>
      <c r="BF48" s="326"/>
    </row>
    <row r="49" spans="1:58" ht="13.5" thickBot="1">
      <c r="A49" s="263">
        <v>2</v>
      </c>
      <c r="B49" s="264">
        <v>2</v>
      </c>
      <c r="C49" s="264"/>
      <c r="D49" s="264"/>
      <c r="E49" s="399"/>
      <c r="F49" s="211" t="s">
        <v>139</v>
      </c>
      <c r="G49" s="265">
        <f>G51+G61+G65+G69+G73+G77+G83+G93</f>
        <v>8975072</v>
      </c>
      <c r="H49" s="265">
        <f>H51+H61+H65+H69+H73+H77+H83+H93</f>
        <v>0</v>
      </c>
      <c r="I49" s="265">
        <f>I51+I61+I65+I69+I73+I77+I83+I93</f>
        <v>492938.18</v>
      </c>
      <c r="J49" s="267" t="e">
        <f t="shared" si="0"/>
        <v>#DIV/0!</v>
      </c>
      <c r="K49" s="265">
        <f>K51+K61+K65+K69+K73+K77+K83+K93</f>
        <v>0</v>
      </c>
      <c r="L49" s="265">
        <f>L51+L61+L65+L69+L73+L77+L83+L93</f>
        <v>956828.54</v>
      </c>
      <c r="M49" s="269" t="e">
        <f t="shared" si="2"/>
        <v>#DIV/0!</v>
      </c>
      <c r="N49" s="265">
        <f>N51+N61+N65+N69+N73+N77+N83+N93</f>
        <v>0</v>
      </c>
      <c r="O49" s="265">
        <f>O51+O61+O65+O69+O73+O77+O83+O93</f>
        <v>296830.23</v>
      </c>
      <c r="P49" s="269" t="e">
        <f t="shared" si="3"/>
        <v>#DIV/0!</v>
      </c>
      <c r="Q49" s="265">
        <f>Q51+Q61+Q65+Q69+Q73+Q77+Q83+Q93</f>
        <v>0</v>
      </c>
      <c r="R49" s="265">
        <f>R51+R61+R65+R69+R73+R77+R83+R93</f>
        <v>1746596.95</v>
      </c>
      <c r="S49" s="327" t="e">
        <f t="shared" si="20"/>
        <v>#DIV/0!</v>
      </c>
      <c r="T49" s="265">
        <f>T51+T61+T65+T69+T73+T77+T83+T93</f>
        <v>0</v>
      </c>
      <c r="U49" s="265">
        <f>U51+U61+U65+U69+U73+U77+U83+U93</f>
        <v>0</v>
      </c>
      <c r="V49" s="269" t="e">
        <f t="shared" si="4"/>
        <v>#DIV/0!</v>
      </c>
      <c r="W49" s="265">
        <f>W51+W61+W65+W69+W73+W77+W83+W93</f>
        <v>0</v>
      </c>
      <c r="X49" s="265">
        <f>X51+X61+X65+X69+X73+X77+X83+X93</f>
        <v>0</v>
      </c>
      <c r="Y49" s="269" t="e">
        <f t="shared" si="5"/>
        <v>#DIV/0!</v>
      </c>
      <c r="Z49" s="265">
        <f>Z51+Z61+Z65+Z69+Z73+Z77+Z83+Z93</f>
        <v>0</v>
      </c>
      <c r="AA49" s="265">
        <f>AA51+AA61+AA65+AA69+AA73+AA77+AA83+AA93</f>
        <v>0</v>
      </c>
      <c r="AB49" s="269" t="e">
        <f t="shared" si="6"/>
        <v>#DIV/0!</v>
      </c>
      <c r="AC49" s="265">
        <f>AC51+AC61+AC65+AC69+AC73+AC77+AC83+AC93</f>
        <v>0</v>
      </c>
      <c r="AD49" s="265">
        <f>AD51+AD61+AD65+AD69+AD73+AD77+AD83+AD93</f>
        <v>0</v>
      </c>
      <c r="AE49" s="327" t="e">
        <f>AD49/AC49</f>
        <v>#DIV/0!</v>
      </c>
      <c r="AF49" s="265">
        <f>AF51+AF61+AF65+AF69+AF73+AF77+AF83+AF93</f>
        <v>0</v>
      </c>
      <c r="AG49" s="265">
        <f>AG51+AG61+AG65+AG69+AG73+AG77+AG83+AG93</f>
        <v>0</v>
      </c>
      <c r="AH49" s="271" t="e">
        <f t="shared" si="8"/>
        <v>#DIV/0!</v>
      </c>
      <c r="AI49" s="265">
        <f>AI51+AI61+AI65+AI69+AI73+AI77+AI83+AI93</f>
        <v>0</v>
      </c>
      <c r="AJ49" s="265">
        <f>AJ51+AJ61+AJ65+AJ69+AJ73+AJ77+AJ83+AJ93</f>
        <v>0</v>
      </c>
      <c r="AK49" s="266" t="e">
        <f t="shared" si="9"/>
        <v>#DIV/0!</v>
      </c>
      <c r="AL49" s="265">
        <f>AL51+AL61+AL65+AL69+AL73+AL77+AL83+AL93</f>
        <v>0</v>
      </c>
      <c r="AM49" s="265">
        <f>AM51+AM61+AM65+AM69+AM73+AM77+AM83+AM93</f>
        <v>0</v>
      </c>
      <c r="AN49" s="265" t="e">
        <f t="shared" si="10"/>
        <v>#DIV/0!</v>
      </c>
      <c r="AO49" s="265">
        <f>AO51+AO61+AO65+AO69+AO73+AO77+AO83+AO93</f>
        <v>0</v>
      </c>
      <c r="AP49" s="265">
        <f>AP51+AP61+AP65+AP69+AP73+AP77+AP83+AP93</f>
        <v>0</v>
      </c>
      <c r="AQ49" s="327" t="e">
        <f>AP49/AO49</f>
        <v>#DIV/0!</v>
      </c>
      <c r="AR49" s="265"/>
      <c r="AS49" s="265"/>
      <c r="AT49" s="265" t="e">
        <f t="shared" si="13"/>
        <v>#DIV/0!</v>
      </c>
      <c r="AU49" s="265"/>
      <c r="AV49" s="265"/>
      <c r="AW49" s="265" t="e">
        <f t="shared" si="14"/>
        <v>#DIV/0!</v>
      </c>
      <c r="AX49" s="265">
        <f>AX51+AX61+AX65+AX69+AX73+AX77+AX83+AX93</f>
        <v>0</v>
      </c>
      <c r="AY49" s="266">
        <f>AY51+AY61+AY65+AY69+AY73+AY77+AY83+AY93</f>
        <v>0</v>
      </c>
      <c r="AZ49" s="266" t="e">
        <f t="shared" si="15"/>
        <v>#DIV/0!</v>
      </c>
      <c r="BA49" s="265">
        <f>BA51+BA61+BA65+BA69+BA73+BA77+BA83+BA93</f>
        <v>0</v>
      </c>
      <c r="BB49" s="265">
        <f>BB51+BB61+BB65+BB69+BB73+BB77+BB83+BB93</f>
        <v>0</v>
      </c>
      <c r="BC49" s="327" t="e">
        <f>BB49/BA49</f>
        <v>#DIV/0!</v>
      </c>
      <c r="BD49" s="266">
        <f>BD51+BD61+BD65+BD69+BD73+BD77+BD83+BD93</f>
        <v>1746596.95</v>
      </c>
      <c r="BE49" s="269">
        <f t="shared" si="17"/>
        <v>0.1946053413276239</v>
      </c>
      <c r="BF49" s="328">
        <f t="shared" si="21"/>
        <v>7228475.05</v>
      </c>
    </row>
    <row r="50" spans="1:58" ht="13.5" thickBot="1">
      <c r="A50" s="272"/>
      <c r="B50" s="273"/>
      <c r="C50" s="329"/>
      <c r="D50" s="329"/>
      <c r="E50" s="406"/>
      <c r="F50" s="130"/>
      <c r="G50" s="274"/>
      <c r="H50" s="274"/>
      <c r="I50" s="275"/>
      <c r="J50" s="276"/>
      <c r="K50" s="277"/>
      <c r="L50" s="278"/>
      <c r="M50" s="279"/>
      <c r="N50" s="278"/>
      <c r="O50" s="278"/>
      <c r="P50" s="279"/>
      <c r="Q50" s="330"/>
      <c r="R50" s="330"/>
      <c r="S50" s="281"/>
      <c r="T50" s="274"/>
      <c r="U50" s="275"/>
      <c r="V50" s="279"/>
      <c r="W50" s="274"/>
      <c r="X50" s="275"/>
      <c r="Y50" s="279"/>
      <c r="Z50" s="274"/>
      <c r="AA50" s="275"/>
      <c r="AB50" s="279"/>
      <c r="AC50" s="330"/>
      <c r="AD50" s="330"/>
      <c r="AE50" s="281"/>
      <c r="AF50" s="274"/>
      <c r="AG50" s="275"/>
      <c r="AH50" s="282"/>
      <c r="AI50" s="274"/>
      <c r="AJ50" s="275"/>
      <c r="AK50" s="283"/>
      <c r="AL50" s="169"/>
      <c r="AM50" s="169"/>
      <c r="AN50" s="274"/>
      <c r="AO50" s="278"/>
      <c r="AP50" s="278"/>
      <c r="AQ50" s="281"/>
      <c r="AR50" s="278"/>
      <c r="AS50" s="278"/>
      <c r="AT50" s="274"/>
      <c r="AU50" s="278"/>
      <c r="AV50" s="278"/>
      <c r="AW50" s="274"/>
      <c r="AX50" s="278"/>
      <c r="AY50" s="275"/>
      <c r="AZ50" s="283"/>
      <c r="BA50" s="330"/>
      <c r="BB50" s="330"/>
      <c r="BC50" s="281"/>
      <c r="BD50" s="283"/>
      <c r="BE50" s="284"/>
      <c r="BF50" s="285"/>
    </row>
    <row r="51" spans="1:58" ht="13.5" thickBot="1">
      <c r="A51" s="286">
        <v>2</v>
      </c>
      <c r="B51" s="231">
        <v>2</v>
      </c>
      <c r="C51" s="231">
        <v>1</v>
      </c>
      <c r="D51" s="299"/>
      <c r="E51" s="403"/>
      <c r="F51" s="155" t="s">
        <v>140</v>
      </c>
      <c r="G51" s="287">
        <f>+G52+G53+G54+G55+G56+G58+G59</f>
        <v>1587072</v>
      </c>
      <c r="H51" s="287">
        <f>+H52+H53+H54+H55+H56+H58+H59</f>
        <v>0</v>
      </c>
      <c r="I51" s="287">
        <f>+I52+I53+I54+I55+I56+I58+I59</f>
        <v>78682.84</v>
      </c>
      <c r="J51" s="289" t="e">
        <f t="shared" si="0"/>
        <v>#DIV/0!</v>
      </c>
      <c r="K51" s="287">
        <f>+K52+K53+K54+K55+K56+K58+K59</f>
        <v>0</v>
      </c>
      <c r="L51" s="287">
        <f>+L52+L53+L54+L55+L56+L58+L59</f>
        <v>101173.74</v>
      </c>
      <c r="M51" s="291" t="e">
        <f t="shared" si="2"/>
        <v>#DIV/0!</v>
      </c>
      <c r="N51" s="287">
        <f>N52+N53+N54+N55+N56+N58+N59</f>
        <v>0</v>
      </c>
      <c r="O51" s="287">
        <f>O52+O53+O54+O55+O56+O58+O59</f>
        <v>66576.1</v>
      </c>
      <c r="P51" s="291" t="e">
        <f t="shared" si="3"/>
        <v>#DIV/0!</v>
      </c>
      <c r="Q51" s="287">
        <f>Q52+Q53+Q54+Q55+Q56+Q58+Q59</f>
        <v>0</v>
      </c>
      <c r="R51" s="287">
        <f>R52+R53+R54+R55+R56+R58+R59</f>
        <v>246432.68</v>
      </c>
      <c r="S51" s="292" t="e">
        <f t="shared" si="20"/>
        <v>#DIV/0!</v>
      </c>
      <c r="T51" s="287">
        <f>+T52+T53+T54+T55+T56+T58+T59</f>
        <v>0</v>
      </c>
      <c r="U51" s="287">
        <f>+U52+U53+U54+U55+U56+U58+U59</f>
        <v>0</v>
      </c>
      <c r="V51" s="291" t="e">
        <f t="shared" si="4"/>
        <v>#DIV/0!</v>
      </c>
      <c r="W51" s="287">
        <f>+W52+W53+W54+W55+W56+W58+W59</f>
        <v>0</v>
      </c>
      <c r="X51" s="287">
        <f>+X52+X53+X54+X55+X56+X58+X59</f>
        <v>0</v>
      </c>
      <c r="Y51" s="291" t="e">
        <f t="shared" si="5"/>
        <v>#DIV/0!</v>
      </c>
      <c r="Z51" s="287">
        <f>+Z52+Z53+Z54+Z55+Z56+Z58+Z59</f>
        <v>0</v>
      </c>
      <c r="AA51" s="287">
        <f>+AA52+AA53+AA54+AA55+AA56+AA58+AA59</f>
        <v>0</v>
      </c>
      <c r="AB51" s="291" t="e">
        <f t="shared" si="6"/>
        <v>#DIV/0!</v>
      </c>
      <c r="AC51" s="287">
        <f>AC52+AC53+AC54+AC55+AC56+AC58+AC59</f>
        <v>0</v>
      </c>
      <c r="AD51" s="287">
        <f>AD52+AD53+AD54+AD55+AD56+AD58+AD59</f>
        <v>0</v>
      </c>
      <c r="AE51" s="292" t="e">
        <f aca="true" t="shared" si="38" ref="AE51:AE112">AD51/AC51</f>
        <v>#DIV/0!</v>
      </c>
      <c r="AF51" s="287">
        <f>+AF52+AF53+AF54+AF55+AF56+AF58+AF59</f>
        <v>0</v>
      </c>
      <c r="AG51" s="287">
        <f>+AG52+AG53+AG54+AG55+AG56+AG58+AG59</f>
        <v>0</v>
      </c>
      <c r="AH51" s="293" t="e">
        <f t="shared" si="8"/>
        <v>#DIV/0!</v>
      </c>
      <c r="AI51" s="287">
        <f>+AI52+AI53+AI54+AI55+AI56+AI58+AI59</f>
        <v>0</v>
      </c>
      <c r="AJ51" s="287">
        <f>+AJ52+AJ53+AJ54+AJ55+AJ56+AJ58+AJ59</f>
        <v>0</v>
      </c>
      <c r="AK51" s="294" t="e">
        <f t="shared" si="9"/>
        <v>#DIV/0!</v>
      </c>
      <c r="AL51" s="287">
        <f>AL52+AL53+AL54+AL55+AL56+AL58+AL59</f>
        <v>0</v>
      </c>
      <c r="AM51" s="287">
        <f>AM52+AM53+AM54+AM55+AM56+AM58+AM59</f>
        <v>0</v>
      </c>
      <c r="AN51" s="295" t="e">
        <f t="shared" si="10"/>
        <v>#DIV/0!</v>
      </c>
      <c r="AO51" s="287">
        <f>AO52+AO53+AO54+AO55+AO56+AO58+AO59</f>
        <v>0</v>
      </c>
      <c r="AP51" s="287">
        <f>AP52+AP53+AP54+AP55+AP56+AP58+AP59</f>
        <v>0</v>
      </c>
      <c r="AQ51" s="292" t="e">
        <f aca="true" t="shared" si="39" ref="AQ51:AQ59">AP51/AO51</f>
        <v>#DIV/0!</v>
      </c>
      <c r="AR51" s="287"/>
      <c r="AS51" s="287"/>
      <c r="AT51" s="295" t="e">
        <f t="shared" si="13"/>
        <v>#DIV/0!</v>
      </c>
      <c r="AU51" s="287"/>
      <c r="AV51" s="287"/>
      <c r="AW51" s="295" t="e">
        <f t="shared" si="14"/>
        <v>#DIV/0!</v>
      </c>
      <c r="AX51" s="287">
        <f>AX52+AX53+AX54+AX55+AX56+AX58+AX59</f>
        <v>0</v>
      </c>
      <c r="AY51" s="288">
        <f>AY52+AY53+AY54+AY55+AY56+AY58+AY59</f>
        <v>0</v>
      </c>
      <c r="AZ51" s="294" t="e">
        <f t="shared" si="15"/>
        <v>#DIV/0!</v>
      </c>
      <c r="BA51" s="287">
        <f>BA52+BA53+BA54+BA55+BA56+BA58+BA59</f>
        <v>0</v>
      </c>
      <c r="BB51" s="287">
        <f>BB52+BB53+BB54+BB55+BB56+BB58+BB59</f>
        <v>0</v>
      </c>
      <c r="BC51" s="292" t="e">
        <f aca="true" t="shared" si="40" ref="BC51:BC59">BB51/BA51</f>
        <v>#DIV/0!</v>
      </c>
      <c r="BD51" s="288">
        <f>+BD52+BD53+BD54+BD55+BD56+BD58+BD59</f>
        <v>246432.68</v>
      </c>
      <c r="BE51" s="296">
        <f t="shared" si="17"/>
        <v>0.15527504738285344</v>
      </c>
      <c r="BF51" s="297">
        <f t="shared" si="21"/>
        <v>1340639.32</v>
      </c>
    </row>
    <row r="52" spans="1:58" ht="13.5" thickBot="1">
      <c r="A52" s="286">
        <v>2</v>
      </c>
      <c r="B52" s="231">
        <v>2</v>
      </c>
      <c r="C52" s="231">
        <v>1</v>
      </c>
      <c r="D52" s="231">
        <v>2</v>
      </c>
      <c r="E52" s="401"/>
      <c r="F52" s="155" t="s">
        <v>83</v>
      </c>
      <c r="G52" s="287">
        <v>20000</v>
      </c>
      <c r="H52" s="287"/>
      <c r="I52" s="288">
        <v>890.5</v>
      </c>
      <c r="J52" s="289" t="e">
        <f t="shared" si="0"/>
        <v>#DIV/0!</v>
      </c>
      <c r="K52" s="290"/>
      <c r="L52" s="288">
        <v>890.5</v>
      </c>
      <c r="M52" s="291" t="e">
        <f t="shared" si="2"/>
        <v>#DIV/0!</v>
      </c>
      <c r="N52" s="287"/>
      <c r="O52" s="288">
        <v>890.5</v>
      </c>
      <c r="P52" s="291" t="e">
        <f t="shared" si="3"/>
        <v>#DIV/0!</v>
      </c>
      <c r="Q52" s="280">
        <f aca="true" t="shared" si="41" ref="Q52:R55">N52+K52+H52</f>
        <v>0</v>
      </c>
      <c r="R52" s="280">
        <f t="shared" si="41"/>
        <v>2671.5</v>
      </c>
      <c r="S52" s="292" t="e">
        <f t="shared" si="20"/>
        <v>#DIV/0!</v>
      </c>
      <c r="T52" s="287"/>
      <c r="U52" s="288"/>
      <c r="V52" s="291" t="e">
        <f t="shared" si="4"/>
        <v>#DIV/0!</v>
      </c>
      <c r="W52" s="287"/>
      <c r="X52" s="288"/>
      <c r="Y52" s="291" t="e">
        <f t="shared" si="5"/>
        <v>#DIV/0!</v>
      </c>
      <c r="Z52" s="287"/>
      <c r="AA52" s="288"/>
      <c r="AB52" s="291" t="e">
        <f t="shared" si="6"/>
        <v>#DIV/0!</v>
      </c>
      <c r="AC52" s="280">
        <f aca="true" t="shared" si="42" ref="AC52:AD55">Z52+W52+T52</f>
        <v>0</v>
      </c>
      <c r="AD52" s="280">
        <f t="shared" si="42"/>
        <v>0</v>
      </c>
      <c r="AE52" s="292" t="e">
        <f t="shared" si="38"/>
        <v>#DIV/0!</v>
      </c>
      <c r="AF52" s="287"/>
      <c r="AG52" s="288"/>
      <c r="AH52" s="293" t="e">
        <f t="shared" si="8"/>
        <v>#DIV/0!</v>
      </c>
      <c r="AI52" s="287"/>
      <c r="AJ52" s="288"/>
      <c r="AK52" s="294" t="e">
        <f t="shared" si="9"/>
        <v>#DIV/0!</v>
      </c>
      <c r="AL52" s="155"/>
      <c r="AM52" s="155"/>
      <c r="AN52" s="295" t="e">
        <f t="shared" si="10"/>
        <v>#DIV/0!</v>
      </c>
      <c r="AO52" s="300">
        <f aca="true" t="shared" si="43" ref="AO52:AP55">AL52+AI52+AF52</f>
        <v>0</v>
      </c>
      <c r="AP52" s="300">
        <f t="shared" si="43"/>
        <v>0</v>
      </c>
      <c r="AQ52" s="292" t="e">
        <f t="shared" si="39"/>
        <v>#DIV/0!</v>
      </c>
      <c r="AR52" s="287"/>
      <c r="AS52" s="287"/>
      <c r="AT52" s="295" t="e">
        <f t="shared" si="13"/>
        <v>#DIV/0!</v>
      </c>
      <c r="AU52" s="287"/>
      <c r="AV52" s="287"/>
      <c r="AW52" s="295" t="e">
        <f t="shared" si="14"/>
        <v>#DIV/0!</v>
      </c>
      <c r="AX52" s="287"/>
      <c r="AY52" s="288"/>
      <c r="AZ52" s="294" t="e">
        <f t="shared" si="15"/>
        <v>#DIV/0!</v>
      </c>
      <c r="BA52" s="280">
        <f aca="true" t="shared" si="44" ref="BA52:BB55">AX52+AU52+AR52</f>
        <v>0</v>
      </c>
      <c r="BB52" s="280">
        <f t="shared" si="44"/>
        <v>0</v>
      </c>
      <c r="BC52" s="292" t="e">
        <f t="shared" si="40"/>
        <v>#DIV/0!</v>
      </c>
      <c r="BD52" s="304">
        <f>I52+L52+O52+U52+X52+AA52+AG52+AJ52+AM52+AS52+AV52+AY52</f>
        <v>2671.5</v>
      </c>
      <c r="BE52" s="296">
        <f t="shared" si="17"/>
        <v>0.133575</v>
      </c>
      <c r="BF52" s="297">
        <f t="shared" si="21"/>
        <v>17328.5</v>
      </c>
    </row>
    <row r="53" spans="1:58" ht="13.5" thickBot="1">
      <c r="A53" s="286">
        <v>2</v>
      </c>
      <c r="B53" s="231">
        <v>2</v>
      </c>
      <c r="C53" s="231">
        <v>1</v>
      </c>
      <c r="D53" s="231">
        <v>3</v>
      </c>
      <c r="E53" s="401"/>
      <c r="F53" s="155" t="s">
        <v>138</v>
      </c>
      <c r="G53" s="287">
        <v>800000</v>
      </c>
      <c r="H53" s="287"/>
      <c r="I53" s="288">
        <v>28015.3</v>
      </c>
      <c r="J53" s="289" t="e">
        <f t="shared" si="0"/>
        <v>#DIV/0!</v>
      </c>
      <c r="K53" s="290"/>
      <c r="L53" s="287">
        <v>82825.65</v>
      </c>
      <c r="M53" s="291" t="e">
        <f t="shared" si="2"/>
        <v>#DIV/0!</v>
      </c>
      <c r="N53" s="287"/>
      <c r="O53" s="287">
        <v>24354.27</v>
      </c>
      <c r="P53" s="291" t="e">
        <f t="shared" si="3"/>
        <v>#DIV/0!</v>
      </c>
      <c r="Q53" s="280">
        <f t="shared" si="41"/>
        <v>0</v>
      </c>
      <c r="R53" s="280">
        <f t="shared" si="41"/>
        <v>135195.22</v>
      </c>
      <c r="S53" s="292" t="e">
        <f t="shared" si="20"/>
        <v>#DIV/0!</v>
      </c>
      <c r="T53" s="287"/>
      <c r="U53" s="288"/>
      <c r="V53" s="291" t="e">
        <f t="shared" si="4"/>
        <v>#DIV/0!</v>
      </c>
      <c r="W53" s="287"/>
      <c r="X53" s="288"/>
      <c r="Y53" s="291" t="e">
        <f t="shared" si="5"/>
        <v>#DIV/0!</v>
      </c>
      <c r="Z53" s="287"/>
      <c r="AA53" s="288"/>
      <c r="AB53" s="291" t="e">
        <f t="shared" si="6"/>
        <v>#DIV/0!</v>
      </c>
      <c r="AC53" s="280">
        <f t="shared" si="42"/>
        <v>0</v>
      </c>
      <c r="AD53" s="280">
        <f t="shared" si="42"/>
        <v>0</v>
      </c>
      <c r="AE53" s="292" t="e">
        <f t="shared" si="38"/>
        <v>#DIV/0!</v>
      </c>
      <c r="AF53" s="287"/>
      <c r="AG53" s="288"/>
      <c r="AH53" s="293" t="e">
        <f t="shared" si="8"/>
        <v>#DIV/0!</v>
      </c>
      <c r="AI53" s="287"/>
      <c r="AJ53" s="288"/>
      <c r="AK53" s="294" t="e">
        <f t="shared" si="9"/>
        <v>#DIV/0!</v>
      </c>
      <c r="AL53" s="155"/>
      <c r="AM53" s="155"/>
      <c r="AN53" s="295" t="e">
        <f t="shared" si="10"/>
        <v>#DIV/0!</v>
      </c>
      <c r="AO53" s="300">
        <f t="shared" si="43"/>
        <v>0</v>
      </c>
      <c r="AP53" s="300">
        <f t="shared" si="43"/>
        <v>0</v>
      </c>
      <c r="AQ53" s="292" t="e">
        <f t="shared" si="39"/>
        <v>#DIV/0!</v>
      </c>
      <c r="AR53" s="287"/>
      <c r="AS53" s="287"/>
      <c r="AT53" s="295" t="e">
        <f t="shared" si="13"/>
        <v>#DIV/0!</v>
      </c>
      <c r="AU53" s="287"/>
      <c r="AV53" s="287"/>
      <c r="AW53" s="295" t="e">
        <f t="shared" si="14"/>
        <v>#DIV/0!</v>
      </c>
      <c r="AX53" s="287"/>
      <c r="AY53" s="288"/>
      <c r="AZ53" s="294" t="e">
        <f t="shared" si="15"/>
        <v>#DIV/0!</v>
      </c>
      <c r="BA53" s="280">
        <f t="shared" si="44"/>
        <v>0</v>
      </c>
      <c r="BB53" s="280">
        <f t="shared" si="44"/>
        <v>0</v>
      </c>
      <c r="BC53" s="292" t="e">
        <f t="shared" si="40"/>
        <v>#DIV/0!</v>
      </c>
      <c r="BD53" s="304">
        <f>I53+L53+O53+U53+X53+AA53+AG53+AJ53+AM53+AS53+AV53+AY53</f>
        <v>135195.22</v>
      </c>
      <c r="BE53" s="296">
        <f t="shared" si="17"/>
        <v>0.168994025</v>
      </c>
      <c r="BF53" s="297">
        <f t="shared" si="21"/>
        <v>664804.78</v>
      </c>
    </row>
    <row r="54" spans="1:58" ht="13.5" thickBot="1">
      <c r="A54" s="286">
        <v>2</v>
      </c>
      <c r="B54" s="231">
        <v>2</v>
      </c>
      <c r="C54" s="231">
        <v>1</v>
      </c>
      <c r="D54" s="231">
        <v>4</v>
      </c>
      <c r="E54" s="401"/>
      <c r="F54" s="155" t="s">
        <v>29</v>
      </c>
      <c r="G54" s="287">
        <v>60000</v>
      </c>
      <c r="H54" s="287"/>
      <c r="I54" s="288">
        <v>2503.2</v>
      </c>
      <c r="J54" s="289" t="e">
        <f t="shared" si="0"/>
        <v>#DIV/0!</v>
      </c>
      <c r="K54" s="290"/>
      <c r="L54" s="287">
        <v>11662.13</v>
      </c>
      <c r="M54" s="291" t="e">
        <f t="shared" si="2"/>
        <v>#DIV/0!</v>
      </c>
      <c r="N54" s="287"/>
      <c r="O54" s="287">
        <v>100</v>
      </c>
      <c r="P54" s="291" t="e">
        <f t="shared" si="3"/>
        <v>#DIV/0!</v>
      </c>
      <c r="Q54" s="280">
        <f t="shared" si="41"/>
        <v>0</v>
      </c>
      <c r="R54" s="280">
        <f t="shared" si="41"/>
        <v>14265.329999999998</v>
      </c>
      <c r="S54" s="292" t="e">
        <f t="shared" si="20"/>
        <v>#DIV/0!</v>
      </c>
      <c r="T54" s="287"/>
      <c r="U54" s="288"/>
      <c r="V54" s="291" t="e">
        <f t="shared" si="4"/>
        <v>#DIV/0!</v>
      </c>
      <c r="W54" s="287"/>
      <c r="X54" s="288"/>
      <c r="Y54" s="291" t="e">
        <f t="shared" si="5"/>
        <v>#DIV/0!</v>
      </c>
      <c r="Z54" s="287"/>
      <c r="AA54" s="288"/>
      <c r="AB54" s="291" t="e">
        <f t="shared" si="6"/>
        <v>#DIV/0!</v>
      </c>
      <c r="AC54" s="280">
        <f t="shared" si="42"/>
        <v>0</v>
      </c>
      <c r="AD54" s="280">
        <f t="shared" si="42"/>
        <v>0</v>
      </c>
      <c r="AE54" s="292" t="e">
        <f t="shared" si="38"/>
        <v>#DIV/0!</v>
      </c>
      <c r="AF54" s="287"/>
      <c r="AG54" s="288"/>
      <c r="AH54" s="293" t="e">
        <f t="shared" si="8"/>
        <v>#DIV/0!</v>
      </c>
      <c r="AI54" s="287"/>
      <c r="AJ54" s="288"/>
      <c r="AK54" s="294" t="e">
        <f t="shared" si="9"/>
        <v>#DIV/0!</v>
      </c>
      <c r="AL54" s="155"/>
      <c r="AM54" s="155"/>
      <c r="AN54" s="295" t="e">
        <f t="shared" si="10"/>
        <v>#DIV/0!</v>
      </c>
      <c r="AO54" s="300">
        <f t="shared" si="43"/>
        <v>0</v>
      </c>
      <c r="AP54" s="300">
        <f t="shared" si="43"/>
        <v>0</v>
      </c>
      <c r="AQ54" s="292" t="e">
        <f t="shared" si="39"/>
        <v>#DIV/0!</v>
      </c>
      <c r="AR54" s="287"/>
      <c r="AS54" s="287"/>
      <c r="AT54" s="295" t="e">
        <f t="shared" si="13"/>
        <v>#DIV/0!</v>
      </c>
      <c r="AU54" s="287"/>
      <c r="AV54" s="287"/>
      <c r="AW54" s="295" t="e">
        <f t="shared" si="14"/>
        <v>#DIV/0!</v>
      </c>
      <c r="AX54" s="287"/>
      <c r="AY54" s="288"/>
      <c r="AZ54" s="294" t="e">
        <f t="shared" si="15"/>
        <v>#DIV/0!</v>
      </c>
      <c r="BA54" s="280">
        <f t="shared" si="44"/>
        <v>0</v>
      </c>
      <c r="BB54" s="280">
        <f t="shared" si="44"/>
        <v>0</v>
      </c>
      <c r="BC54" s="292" t="e">
        <f t="shared" si="40"/>
        <v>#DIV/0!</v>
      </c>
      <c r="BD54" s="304">
        <f>I54+L54+O54+U54+X54+AA54+AG54+AJ54+AM54+AS54+AV54+AY54</f>
        <v>14265.329999999998</v>
      </c>
      <c r="BE54" s="296">
        <f t="shared" si="17"/>
        <v>0.23775549999999998</v>
      </c>
      <c r="BF54" s="297">
        <f t="shared" si="21"/>
        <v>45734.67</v>
      </c>
    </row>
    <row r="55" spans="1:58" ht="13.5" thickBot="1">
      <c r="A55" s="286">
        <v>2</v>
      </c>
      <c r="B55" s="231">
        <v>2</v>
      </c>
      <c r="C55" s="231">
        <v>1</v>
      </c>
      <c r="D55" s="231">
        <v>5</v>
      </c>
      <c r="E55" s="401"/>
      <c r="F55" s="155" t="s">
        <v>84</v>
      </c>
      <c r="G55" s="287">
        <v>80000</v>
      </c>
      <c r="H55" s="287"/>
      <c r="I55" s="288">
        <v>4141.46</v>
      </c>
      <c r="J55" s="289" t="e">
        <f t="shared" si="0"/>
        <v>#DIV/0!</v>
      </c>
      <c r="K55" s="290"/>
      <c r="L55" s="288">
        <v>4141.46</v>
      </c>
      <c r="M55" s="291" t="e">
        <f t="shared" si="2"/>
        <v>#DIV/0!</v>
      </c>
      <c r="N55" s="287"/>
      <c r="O55" s="288">
        <v>4141.46</v>
      </c>
      <c r="P55" s="291" t="e">
        <f t="shared" si="3"/>
        <v>#DIV/0!</v>
      </c>
      <c r="Q55" s="280">
        <f t="shared" si="41"/>
        <v>0</v>
      </c>
      <c r="R55" s="280">
        <f t="shared" si="41"/>
        <v>12424.380000000001</v>
      </c>
      <c r="S55" s="292" t="e">
        <f t="shared" si="20"/>
        <v>#DIV/0!</v>
      </c>
      <c r="T55" s="287"/>
      <c r="U55" s="288"/>
      <c r="V55" s="291" t="e">
        <f t="shared" si="4"/>
        <v>#DIV/0!</v>
      </c>
      <c r="W55" s="287"/>
      <c r="X55" s="288"/>
      <c r="Y55" s="291" t="e">
        <f t="shared" si="5"/>
        <v>#DIV/0!</v>
      </c>
      <c r="Z55" s="287"/>
      <c r="AA55" s="288"/>
      <c r="AB55" s="291" t="e">
        <f t="shared" si="6"/>
        <v>#DIV/0!</v>
      </c>
      <c r="AC55" s="280">
        <f t="shared" si="42"/>
        <v>0</v>
      </c>
      <c r="AD55" s="280">
        <f t="shared" si="42"/>
        <v>0</v>
      </c>
      <c r="AE55" s="292" t="e">
        <f t="shared" si="38"/>
        <v>#DIV/0!</v>
      </c>
      <c r="AF55" s="287"/>
      <c r="AG55" s="288"/>
      <c r="AH55" s="293" t="e">
        <f t="shared" si="8"/>
        <v>#DIV/0!</v>
      </c>
      <c r="AI55" s="287"/>
      <c r="AJ55" s="288"/>
      <c r="AK55" s="294" t="e">
        <f t="shared" si="9"/>
        <v>#DIV/0!</v>
      </c>
      <c r="AL55" s="155"/>
      <c r="AM55" s="155"/>
      <c r="AN55" s="295" t="e">
        <f t="shared" si="10"/>
        <v>#DIV/0!</v>
      </c>
      <c r="AO55" s="300">
        <f t="shared" si="43"/>
        <v>0</v>
      </c>
      <c r="AP55" s="300">
        <f t="shared" si="43"/>
        <v>0</v>
      </c>
      <c r="AQ55" s="292" t="e">
        <f t="shared" si="39"/>
        <v>#DIV/0!</v>
      </c>
      <c r="AR55" s="287"/>
      <c r="AS55" s="287"/>
      <c r="AT55" s="295" t="e">
        <f t="shared" si="13"/>
        <v>#DIV/0!</v>
      </c>
      <c r="AU55" s="287"/>
      <c r="AV55" s="287"/>
      <c r="AW55" s="295" t="e">
        <f t="shared" si="14"/>
        <v>#DIV/0!</v>
      </c>
      <c r="AX55" s="287"/>
      <c r="AY55" s="288"/>
      <c r="AZ55" s="294" t="e">
        <f t="shared" si="15"/>
        <v>#DIV/0!</v>
      </c>
      <c r="BA55" s="280">
        <f t="shared" si="44"/>
        <v>0</v>
      </c>
      <c r="BB55" s="280">
        <f t="shared" si="44"/>
        <v>0</v>
      </c>
      <c r="BC55" s="292" t="e">
        <f t="shared" si="40"/>
        <v>#DIV/0!</v>
      </c>
      <c r="BD55" s="304">
        <f>I55+L55+O55+U55+X55+AA55+AG55+AJ55+AM55+AS55+AV55+AY55</f>
        <v>12424.380000000001</v>
      </c>
      <c r="BE55" s="296">
        <f t="shared" si="17"/>
        <v>0.15530475000000002</v>
      </c>
      <c r="BF55" s="297">
        <f t="shared" si="21"/>
        <v>67575.62</v>
      </c>
    </row>
    <row r="56" spans="1:58" ht="13.5" thickBot="1">
      <c r="A56" s="286">
        <v>2</v>
      </c>
      <c r="B56" s="231">
        <v>2</v>
      </c>
      <c r="C56" s="231">
        <v>1</v>
      </c>
      <c r="D56" s="231">
        <v>6</v>
      </c>
      <c r="E56" s="401"/>
      <c r="F56" s="155" t="s">
        <v>1</v>
      </c>
      <c r="G56" s="287">
        <f>G57</f>
        <v>600000</v>
      </c>
      <c r="H56" s="287">
        <f>H57+H58+H59</f>
        <v>0</v>
      </c>
      <c r="I56" s="288">
        <f>+I57</f>
        <v>41476.38</v>
      </c>
      <c r="J56" s="289" t="e">
        <f t="shared" si="0"/>
        <v>#DIV/0!</v>
      </c>
      <c r="K56" s="290">
        <f>+K57</f>
        <v>0</v>
      </c>
      <c r="L56" s="287">
        <f>+L57</f>
        <v>0</v>
      </c>
      <c r="M56" s="291" t="e">
        <f t="shared" si="2"/>
        <v>#DIV/0!</v>
      </c>
      <c r="N56" s="287">
        <f>+N57</f>
        <v>0</v>
      </c>
      <c r="O56" s="287">
        <f>+O57</f>
        <v>35239.87</v>
      </c>
      <c r="P56" s="291" t="e">
        <f t="shared" si="3"/>
        <v>#DIV/0!</v>
      </c>
      <c r="Q56" s="287">
        <f>+Q57</f>
        <v>0</v>
      </c>
      <c r="R56" s="287">
        <f>+R57</f>
        <v>76716.25</v>
      </c>
      <c r="S56" s="292" t="e">
        <f t="shared" si="20"/>
        <v>#DIV/0!</v>
      </c>
      <c r="T56" s="287">
        <f>T57+T58+T59</f>
        <v>0</v>
      </c>
      <c r="U56" s="288">
        <f>+U57</f>
        <v>0</v>
      </c>
      <c r="V56" s="291" t="e">
        <f t="shared" si="4"/>
        <v>#DIV/0!</v>
      </c>
      <c r="W56" s="287">
        <f>W57+W58+W59</f>
        <v>0</v>
      </c>
      <c r="X56" s="288">
        <f>+X57</f>
        <v>0</v>
      </c>
      <c r="Y56" s="291" t="e">
        <f t="shared" si="5"/>
        <v>#DIV/0!</v>
      </c>
      <c r="Z56" s="287">
        <f>Z57+Z58+Z59</f>
        <v>0</v>
      </c>
      <c r="AA56" s="288">
        <f>+AA57</f>
        <v>0</v>
      </c>
      <c r="AB56" s="291" t="e">
        <f t="shared" si="6"/>
        <v>#DIV/0!</v>
      </c>
      <c r="AC56" s="287">
        <f>+AC57</f>
        <v>0</v>
      </c>
      <c r="AD56" s="287">
        <f>+AD57</f>
        <v>0</v>
      </c>
      <c r="AE56" s="292" t="e">
        <f t="shared" si="38"/>
        <v>#DIV/0!</v>
      </c>
      <c r="AF56" s="287">
        <f>AF57+AF58+AF59</f>
        <v>0</v>
      </c>
      <c r="AG56" s="288">
        <f>+AG57</f>
        <v>0</v>
      </c>
      <c r="AH56" s="293" t="e">
        <f t="shared" si="8"/>
        <v>#DIV/0!</v>
      </c>
      <c r="AI56" s="287">
        <f>AI57+AI58+AI59</f>
        <v>0</v>
      </c>
      <c r="AJ56" s="288">
        <f>+AJ57</f>
        <v>0</v>
      </c>
      <c r="AK56" s="294" t="e">
        <f t="shared" si="9"/>
        <v>#DIV/0!</v>
      </c>
      <c r="AL56" s="287">
        <f>+AL57</f>
        <v>0</v>
      </c>
      <c r="AM56" s="287">
        <f>+AM57</f>
        <v>0</v>
      </c>
      <c r="AN56" s="295" t="e">
        <f t="shared" si="10"/>
        <v>#DIV/0!</v>
      </c>
      <c r="AO56" s="287">
        <f>+AO57</f>
        <v>0</v>
      </c>
      <c r="AP56" s="287">
        <f>+AP57</f>
        <v>0</v>
      </c>
      <c r="AQ56" s="292" t="e">
        <f t="shared" si="39"/>
        <v>#DIV/0!</v>
      </c>
      <c r="AR56" s="287"/>
      <c r="AS56" s="287"/>
      <c r="AT56" s="295" t="e">
        <f t="shared" si="13"/>
        <v>#DIV/0!</v>
      </c>
      <c r="AU56" s="287"/>
      <c r="AV56" s="287"/>
      <c r="AW56" s="295" t="e">
        <f t="shared" si="14"/>
        <v>#DIV/0!</v>
      </c>
      <c r="AX56" s="287">
        <f>+AX57</f>
        <v>0</v>
      </c>
      <c r="AY56" s="288">
        <f>+AY57</f>
        <v>0</v>
      </c>
      <c r="AZ56" s="294" t="e">
        <f t="shared" si="15"/>
        <v>#DIV/0!</v>
      </c>
      <c r="BA56" s="287">
        <f>+BA57</f>
        <v>0</v>
      </c>
      <c r="BB56" s="287">
        <f>+BB57</f>
        <v>0</v>
      </c>
      <c r="BC56" s="292" t="e">
        <f t="shared" si="40"/>
        <v>#DIV/0!</v>
      </c>
      <c r="BD56" s="288">
        <f>BD57</f>
        <v>76716.25</v>
      </c>
      <c r="BE56" s="296">
        <f t="shared" si="17"/>
        <v>0.12786041666666667</v>
      </c>
      <c r="BF56" s="297">
        <f t="shared" si="21"/>
        <v>523283.75</v>
      </c>
    </row>
    <row r="57" spans="1:58" ht="13.5" thickBot="1">
      <c r="A57" s="298">
        <v>2</v>
      </c>
      <c r="B57" s="299">
        <v>2</v>
      </c>
      <c r="C57" s="299">
        <v>1</v>
      </c>
      <c r="D57" s="299">
        <v>6</v>
      </c>
      <c r="E57" s="402" t="s">
        <v>149</v>
      </c>
      <c r="F57" s="90" t="s">
        <v>137</v>
      </c>
      <c r="G57" s="300">
        <v>600000</v>
      </c>
      <c r="H57" s="300"/>
      <c r="I57" s="304">
        <v>41476.38</v>
      </c>
      <c r="J57" s="301" t="e">
        <f t="shared" si="0"/>
        <v>#DIV/0!</v>
      </c>
      <c r="K57" s="302"/>
      <c r="L57" s="300"/>
      <c r="M57" s="291" t="e">
        <f t="shared" si="2"/>
        <v>#DIV/0!</v>
      </c>
      <c r="N57" s="300"/>
      <c r="O57" s="300">
        <v>35239.87</v>
      </c>
      <c r="P57" s="291" t="e">
        <f t="shared" si="3"/>
        <v>#DIV/0!</v>
      </c>
      <c r="Q57" s="280">
        <f aca="true" t="shared" si="45" ref="Q57:R59">N57+K57+H57</f>
        <v>0</v>
      </c>
      <c r="R57" s="280">
        <f t="shared" si="45"/>
        <v>76716.25</v>
      </c>
      <c r="S57" s="292" t="e">
        <f t="shared" si="20"/>
        <v>#DIV/0!</v>
      </c>
      <c r="T57" s="300"/>
      <c r="U57" s="304"/>
      <c r="V57" s="291" t="e">
        <f t="shared" si="4"/>
        <v>#DIV/0!</v>
      </c>
      <c r="W57" s="300"/>
      <c r="X57" s="304"/>
      <c r="Y57" s="291" t="e">
        <f t="shared" si="5"/>
        <v>#DIV/0!</v>
      </c>
      <c r="Z57" s="300"/>
      <c r="AA57" s="304"/>
      <c r="AB57" s="291" t="e">
        <f t="shared" si="6"/>
        <v>#DIV/0!</v>
      </c>
      <c r="AC57" s="280">
        <f aca="true" t="shared" si="46" ref="AC57:AD59">Z57+W57+T57</f>
        <v>0</v>
      </c>
      <c r="AD57" s="280">
        <f t="shared" si="46"/>
        <v>0</v>
      </c>
      <c r="AE57" s="292" t="e">
        <f t="shared" si="38"/>
        <v>#DIV/0!</v>
      </c>
      <c r="AF57" s="300"/>
      <c r="AG57" s="304"/>
      <c r="AH57" s="293" t="e">
        <f t="shared" si="8"/>
        <v>#DIV/0!</v>
      </c>
      <c r="AI57" s="300"/>
      <c r="AJ57" s="304"/>
      <c r="AK57" s="294" t="e">
        <f t="shared" si="9"/>
        <v>#DIV/0!</v>
      </c>
      <c r="AL57" s="90"/>
      <c r="AM57" s="90"/>
      <c r="AN57" s="295" t="e">
        <f t="shared" si="10"/>
        <v>#DIV/0!</v>
      </c>
      <c r="AO57" s="300">
        <f aca="true" t="shared" si="47" ref="AO57:AP59">AL57+AI57+AF57</f>
        <v>0</v>
      </c>
      <c r="AP57" s="300">
        <f t="shared" si="47"/>
        <v>0</v>
      </c>
      <c r="AQ57" s="292" t="e">
        <f t="shared" si="39"/>
        <v>#DIV/0!</v>
      </c>
      <c r="AR57" s="300"/>
      <c r="AS57" s="300"/>
      <c r="AT57" s="295" t="e">
        <f t="shared" si="13"/>
        <v>#DIV/0!</v>
      </c>
      <c r="AU57" s="300"/>
      <c r="AV57" s="300"/>
      <c r="AW57" s="295" t="e">
        <f t="shared" si="14"/>
        <v>#DIV/0!</v>
      </c>
      <c r="AX57" s="300"/>
      <c r="AY57" s="304"/>
      <c r="AZ57" s="294" t="e">
        <f t="shared" si="15"/>
        <v>#DIV/0!</v>
      </c>
      <c r="BA57" s="280">
        <f aca="true" t="shared" si="48" ref="BA57:BB59">AX57+AU57+AR57</f>
        <v>0</v>
      </c>
      <c r="BB57" s="280">
        <f t="shared" si="48"/>
        <v>0</v>
      </c>
      <c r="BC57" s="292" t="e">
        <f t="shared" si="40"/>
        <v>#DIV/0!</v>
      </c>
      <c r="BD57" s="304">
        <f>I57+L57+O57+U57+X57+AA57+AG57+AJ57+AM57+AS57+AV57+AY57</f>
        <v>76716.25</v>
      </c>
      <c r="BE57" s="296">
        <f t="shared" si="17"/>
        <v>0.12786041666666667</v>
      </c>
      <c r="BF57" s="308">
        <f t="shared" si="21"/>
        <v>523283.75</v>
      </c>
    </row>
    <row r="58" spans="1:58" ht="13.5" thickBot="1">
      <c r="A58" s="286">
        <v>2</v>
      </c>
      <c r="B58" s="231">
        <v>2</v>
      </c>
      <c r="C58" s="231">
        <v>1</v>
      </c>
      <c r="D58" s="231">
        <v>7</v>
      </c>
      <c r="E58" s="401"/>
      <c r="F58" s="155" t="s">
        <v>2</v>
      </c>
      <c r="G58" s="287">
        <v>7200</v>
      </c>
      <c r="H58" s="287"/>
      <c r="I58" s="288"/>
      <c r="J58" s="289" t="e">
        <f t="shared" si="0"/>
        <v>#DIV/0!</v>
      </c>
      <c r="K58" s="290"/>
      <c r="L58" s="287"/>
      <c r="M58" s="291" t="e">
        <f t="shared" si="2"/>
        <v>#DIV/0!</v>
      </c>
      <c r="N58" s="287"/>
      <c r="O58" s="287"/>
      <c r="P58" s="291" t="e">
        <f t="shared" si="3"/>
        <v>#DIV/0!</v>
      </c>
      <c r="Q58" s="280">
        <f t="shared" si="45"/>
        <v>0</v>
      </c>
      <c r="R58" s="280">
        <f t="shared" si="45"/>
        <v>0</v>
      </c>
      <c r="S58" s="292" t="e">
        <f t="shared" si="20"/>
        <v>#DIV/0!</v>
      </c>
      <c r="T58" s="287"/>
      <c r="U58" s="288"/>
      <c r="V58" s="291" t="e">
        <f t="shared" si="4"/>
        <v>#DIV/0!</v>
      </c>
      <c r="W58" s="287"/>
      <c r="X58" s="288"/>
      <c r="Y58" s="291" t="e">
        <f t="shared" si="5"/>
        <v>#DIV/0!</v>
      </c>
      <c r="Z58" s="287"/>
      <c r="AA58" s="288"/>
      <c r="AB58" s="291" t="e">
        <f t="shared" si="6"/>
        <v>#DIV/0!</v>
      </c>
      <c r="AC58" s="280">
        <f t="shared" si="46"/>
        <v>0</v>
      </c>
      <c r="AD58" s="280">
        <f t="shared" si="46"/>
        <v>0</v>
      </c>
      <c r="AE58" s="292" t="e">
        <f t="shared" si="38"/>
        <v>#DIV/0!</v>
      </c>
      <c r="AF58" s="287"/>
      <c r="AG58" s="288"/>
      <c r="AH58" s="293" t="e">
        <f t="shared" si="8"/>
        <v>#DIV/0!</v>
      </c>
      <c r="AI58" s="287"/>
      <c r="AJ58" s="288"/>
      <c r="AK58" s="294" t="e">
        <f t="shared" si="9"/>
        <v>#DIV/0!</v>
      </c>
      <c r="AL58" s="155"/>
      <c r="AM58" s="155"/>
      <c r="AN58" s="295" t="e">
        <f t="shared" si="10"/>
        <v>#DIV/0!</v>
      </c>
      <c r="AO58" s="300">
        <f t="shared" si="47"/>
        <v>0</v>
      </c>
      <c r="AP58" s="300">
        <f t="shared" si="47"/>
        <v>0</v>
      </c>
      <c r="AQ58" s="292" t="e">
        <f t="shared" si="39"/>
        <v>#DIV/0!</v>
      </c>
      <c r="AR58" s="287"/>
      <c r="AS58" s="287"/>
      <c r="AT58" s="295" t="e">
        <f t="shared" si="13"/>
        <v>#DIV/0!</v>
      </c>
      <c r="AU58" s="287"/>
      <c r="AV58" s="287"/>
      <c r="AW58" s="295" t="e">
        <f t="shared" si="14"/>
        <v>#DIV/0!</v>
      </c>
      <c r="AX58" s="287"/>
      <c r="AY58" s="288"/>
      <c r="AZ58" s="294" t="e">
        <f t="shared" si="15"/>
        <v>#DIV/0!</v>
      </c>
      <c r="BA58" s="280">
        <f t="shared" si="48"/>
        <v>0</v>
      </c>
      <c r="BB58" s="280">
        <f t="shared" si="48"/>
        <v>0</v>
      </c>
      <c r="BC58" s="292" t="e">
        <f t="shared" si="40"/>
        <v>#DIV/0!</v>
      </c>
      <c r="BD58" s="304">
        <f>I58+L58+O58+U58+X58+AA58+AG58+AJ58+AM58+AS58+AV58+AY58</f>
        <v>0</v>
      </c>
      <c r="BE58" s="296">
        <f t="shared" si="17"/>
        <v>0</v>
      </c>
      <c r="BF58" s="297">
        <f t="shared" si="21"/>
        <v>7200</v>
      </c>
    </row>
    <row r="59" spans="1:58" ht="13.5" thickBot="1">
      <c r="A59" s="286">
        <v>2</v>
      </c>
      <c r="B59" s="231">
        <v>2</v>
      </c>
      <c r="C59" s="231">
        <v>1</v>
      </c>
      <c r="D59" s="231">
        <v>8</v>
      </c>
      <c r="E59" s="401"/>
      <c r="F59" s="155" t="s">
        <v>194</v>
      </c>
      <c r="G59" s="287">
        <v>19872</v>
      </c>
      <c r="H59" s="287"/>
      <c r="I59" s="288">
        <v>1656</v>
      </c>
      <c r="J59" s="289" t="e">
        <f t="shared" si="0"/>
        <v>#DIV/0!</v>
      </c>
      <c r="K59" s="290"/>
      <c r="L59" s="287">
        <v>1654</v>
      </c>
      <c r="M59" s="291" t="e">
        <f t="shared" si="2"/>
        <v>#DIV/0!</v>
      </c>
      <c r="N59" s="287"/>
      <c r="O59" s="287">
        <v>1850</v>
      </c>
      <c r="P59" s="291" t="e">
        <f t="shared" si="3"/>
        <v>#DIV/0!</v>
      </c>
      <c r="Q59" s="280">
        <f t="shared" si="45"/>
        <v>0</v>
      </c>
      <c r="R59" s="280">
        <f t="shared" si="45"/>
        <v>5160</v>
      </c>
      <c r="S59" s="292" t="e">
        <f t="shared" si="20"/>
        <v>#DIV/0!</v>
      </c>
      <c r="T59" s="287"/>
      <c r="U59" s="288"/>
      <c r="V59" s="291" t="e">
        <f t="shared" si="4"/>
        <v>#DIV/0!</v>
      </c>
      <c r="W59" s="287"/>
      <c r="X59" s="288"/>
      <c r="Y59" s="291" t="e">
        <f t="shared" si="5"/>
        <v>#DIV/0!</v>
      </c>
      <c r="Z59" s="287"/>
      <c r="AA59" s="288"/>
      <c r="AB59" s="291" t="e">
        <f t="shared" si="6"/>
        <v>#DIV/0!</v>
      </c>
      <c r="AC59" s="280">
        <f t="shared" si="46"/>
        <v>0</v>
      </c>
      <c r="AD59" s="280">
        <f t="shared" si="46"/>
        <v>0</v>
      </c>
      <c r="AE59" s="292" t="e">
        <f t="shared" si="38"/>
        <v>#DIV/0!</v>
      </c>
      <c r="AF59" s="287"/>
      <c r="AG59" s="288"/>
      <c r="AH59" s="293" t="e">
        <f t="shared" si="8"/>
        <v>#DIV/0!</v>
      </c>
      <c r="AI59" s="287"/>
      <c r="AJ59" s="288"/>
      <c r="AK59" s="294" t="e">
        <f t="shared" si="9"/>
        <v>#DIV/0!</v>
      </c>
      <c r="AL59" s="155"/>
      <c r="AM59" s="155"/>
      <c r="AN59" s="295" t="e">
        <f t="shared" si="10"/>
        <v>#DIV/0!</v>
      </c>
      <c r="AO59" s="300">
        <f t="shared" si="47"/>
        <v>0</v>
      </c>
      <c r="AP59" s="300">
        <f t="shared" si="47"/>
        <v>0</v>
      </c>
      <c r="AQ59" s="292" t="e">
        <f t="shared" si="39"/>
        <v>#DIV/0!</v>
      </c>
      <c r="AR59" s="287"/>
      <c r="AS59" s="287"/>
      <c r="AT59" s="295" t="e">
        <f t="shared" si="13"/>
        <v>#DIV/0!</v>
      </c>
      <c r="AU59" s="287"/>
      <c r="AV59" s="287"/>
      <c r="AW59" s="295" t="e">
        <f t="shared" si="14"/>
        <v>#DIV/0!</v>
      </c>
      <c r="AX59" s="287"/>
      <c r="AY59" s="288"/>
      <c r="AZ59" s="294" t="e">
        <f t="shared" si="15"/>
        <v>#DIV/0!</v>
      </c>
      <c r="BA59" s="280">
        <f t="shared" si="48"/>
        <v>0</v>
      </c>
      <c r="BB59" s="280">
        <f t="shared" si="48"/>
        <v>0</v>
      </c>
      <c r="BC59" s="292" t="e">
        <f t="shared" si="40"/>
        <v>#DIV/0!</v>
      </c>
      <c r="BD59" s="304">
        <f>I59+L59+O59+U59+X59+AA59+AG59+AJ59+AM59+AS59+AV59+AY59</f>
        <v>5160</v>
      </c>
      <c r="BE59" s="296">
        <f t="shared" si="17"/>
        <v>0.25966183574879226</v>
      </c>
      <c r="BF59" s="297">
        <f t="shared" si="21"/>
        <v>14712</v>
      </c>
    </row>
    <row r="60" spans="1:58" ht="13.5" thickBot="1">
      <c r="A60" s="286"/>
      <c r="B60" s="231"/>
      <c r="C60" s="231"/>
      <c r="D60" s="231"/>
      <c r="E60" s="403"/>
      <c r="F60" s="155"/>
      <c r="G60" s="287"/>
      <c r="H60" s="287"/>
      <c r="I60" s="304"/>
      <c r="J60" s="289"/>
      <c r="K60" s="302"/>
      <c r="L60" s="300"/>
      <c r="M60" s="291"/>
      <c r="N60" s="300"/>
      <c r="O60" s="300"/>
      <c r="P60" s="291"/>
      <c r="Q60" s="280"/>
      <c r="R60" s="280"/>
      <c r="S60" s="292"/>
      <c r="T60" s="287"/>
      <c r="U60" s="304"/>
      <c r="V60" s="291"/>
      <c r="W60" s="287"/>
      <c r="X60" s="304"/>
      <c r="Y60" s="291"/>
      <c r="Z60" s="287"/>
      <c r="AA60" s="304"/>
      <c r="AB60" s="291"/>
      <c r="AC60" s="280"/>
      <c r="AD60" s="280"/>
      <c r="AE60" s="292"/>
      <c r="AF60" s="287"/>
      <c r="AG60" s="304"/>
      <c r="AH60" s="293"/>
      <c r="AI60" s="287"/>
      <c r="AJ60" s="304"/>
      <c r="AK60" s="294"/>
      <c r="AL60" s="90"/>
      <c r="AM60" s="90"/>
      <c r="AN60" s="295"/>
      <c r="AO60" s="300"/>
      <c r="AP60" s="300"/>
      <c r="AQ60" s="292"/>
      <c r="AR60" s="300"/>
      <c r="AS60" s="300"/>
      <c r="AT60" s="295"/>
      <c r="AU60" s="300"/>
      <c r="AV60" s="300"/>
      <c r="AW60" s="295"/>
      <c r="AX60" s="300"/>
      <c r="AY60" s="304"/>
      <c r="AZ60" s="294"/>
      <c r="BA60" s="280"/>
      <c r="BB60" s="280"/>
      <c r="BC60" s="292"/>
      <c r="BD60" s="288"/>
      <c r="BE60" s="296"/>
      <c r="BF60" s="308"/>
    </row>
    <row r="61" spans="1:58" ht="22.5" thickBot="1">
      <c r="A61" s="286">
        <v>2</v>
      </c>
      <c r="B61" s="231">
        <v>2</v>
      </c>
      <c r="C61" s="231">
        <v>2</v>
      </c>
      <c r="D61" s="299"/>
      <c r="E61" s="403"/>
      <c r="F61" s="156" t="s">
        <v>159</v>
      </c>
      <c r="G61" s="331">
        <f>+G62+G63</f>
        <v>1200000</v>
      </c>
      <c r="H61" s="331">
        <f>+H62+H63</f>
        <v>0</v>
      </c>
      <c r="I61" s="332">
        <f>+I62+I63</f>
        <v>0</v>
      </c>
      <c r="J61" s="333" t="e">
        <f t="shared" si="0"/>
        <v>#DIV/0!</v>
      </c>
      <c r="K61" s="334">
        <f>+K62+K63</f>
        <v>0</v>
      </c>
      <c r="L61" s="331">
        <f>+L62+L63</f>
        <v>1062</v>
      </c>
      <c r="M61" s="291" t="e">
        <f t="shared" si="2"/>
        <v>#DIV/0!</v>
      </c>
      <c r="N61" s="331">
        <f>+N62+N63</f>
        <v>0</v>
      </c>
      <c r="O61" s="331">
        <f>+O62+O63</f>
        <v>334</v>
      </c>
      <c r="P61" s="291" t="e">
        <f t="shared" si="3"/>
        <v>#DIV/0!</v>
      </c>
      <c r="Q61" s="331">
        <f>+Q62+Q63</f>
        <v>0</v>
      </c>
      <c r="R61" s="331">
        <f>+R62+R63</f>
        <v>1396</v>
      </c>
      <c r="S61" s="292" t="e">
        <f t="shared" si="20"/>
        <v>#DIV/0!</v>
      </c>
      <c r="T61" s="331">
        <f>+T62+T63</f>
        <v>0</v>
      </c>
      <c r="U61" s="332">
        <f>+U62+U63</f>
        <v>0</v>
      </c>
      <c r="V61" s="291" t="e">
        <f t="shared" si="4"/>
        <v>#DIV/0!</v>
      </c>
      <c r="W61" s="331">
        <f>+W62+W63</f>
        <v>0</v>
      </c>
      <c r="X61" s="332">
        <f>+X62+X63</f>
        <v>0</v>
      </c>
      <c r="Y61" s="291" t="e">
        <f t="shared" si="5"/>
        <v>#DIV/0!</v>
      </c>
      <c r="Z61" s="331">
        <f>+Z62+Z63</f>
        <v>0</v>
      </c>
      <c r="AA61" s="332">
        <f>+AA62+AA63</f>
        <v>0</v>
      </c>
      <c r="AB61" s="291" t="e">
        <f t="shared" si="6"/>
        <v>#DIV/0!</v>
      </c>
      <c r="AC61" s="331">
        <f>+AC62+AC63</f>
        <v>0</v>
      </c>
      <c r="AD61" s="331">
        <f>+AD62+AD63</f>
        <v>0</v>
      </c>
      <c r="AE61" s="292" t="e">
        <f t="shared" si="38"/>
        <v>#DIV/0!</v>
      </c>
      <c r="AF61" s="331">
        <f>+AF62+AF63</f>
        <v>0</v>
      </c>
      <c r="AG61" s="332">
        <f>+AG62+AG63</f>
        <v>0</v>
      </c>
      <c r="AH61" s="293" t="e">
        <f t="shared" si="8"/>
        <v>#DIV/0!</v>
      </c>
      <c r="AI61" s="331">
        <f>+AI62+AI63</f>
        <v>0</v>
      </c>
      <c r="AJ61" s="332">
        <f>+AJ62+AJ63</f>
        <v>0</v>
      </c>
      <c r="AK61" s="294" t="e">
        <f t="shared" si="9"/>
        <v>#DIV/0!</v>
      </c>
      <c r="AL61" s="331">
        <f>+AL62+AL63</f>
        <v>0</v>
      </c>
      <c r="AM61" s="331">
        <f>+AM62+AM63</f>
        <v>0</v>
      </c>
      <c r="AN61" s="295" t="e">
        <f t="shared" si="10"/>
        <v>#DIV/0!</v>
      </c>
      <c r="AO61" s="331">
        <f>+AO62+AO63</f>
        <v>0</v>
      </c>
      <c r="AP61" s="331">
        <f>+AP62+AP63</f>
        <v>0</v>
      </c>
      <c r="AQ61" s="292" t="e">
        <f>AP61/AO61</f>
        <v>#DIV/0!</v>
      </c>
      <c r="AR61" s="331"/>
      <c r="AS61" s="331"/>
      <c r="AT61" s="295" t="e">
        <f t="shared" si="13"/>
        <v>#DIV/0!</v>
      </c>
      <c r="AU61" s="331"/>
      <c r="AV61" s="331"/>
      <c r="AW61" s="295" t="e">
        <f t="shared" si="14"/>
        <v>#DIV/0!</v>
      </c>
      <c r="AX61" s="331">
        <f>+AX62+AX63</f>
        <v>0</v>
      </c>
      <c r="AY61" s="332">
        <f>+AY62+AY63</f>
        <v>0</v>
      </c>
      <c r="AZ61" s="294" t="e">
        <f t="shared" si="15"/>
        <v>#DIV/0!</v>
      </c>
      <c r="BA61" s="331">
        <f>+BA62+BA63</f>
        <v>0</v>
      </c>
      <c r="BB61" s="331">
        <f>+BB62+BB63</f>
        <v>0</v>
      </c>
      <c r="BC61" s="292" t="e">
        <f>BB61/BA61</f>
        <v>#DIV/0!</v>
      </c>
      <c r="BD61" s="332">
        <f>+BD62+BD63</f>
        <v>1396</v>
      </c>
      <c r="BE61" s="296">
        <f t="shared" si="17"/>
        <v>0.0011633333333333333</v>
      </c>
      <c r="BF61" s="297">
        <f t="shared" si="21"/>
        <v>1198604</v>
      </c>
    </row>
    <row r="62" spans="1:58" ht="13.5" thickBot="1">
      <c r="A62" s="286">
        <v>2</v>
      </c>
      <c r="B62" s="231">
        <v>2</v>
      </c>
      <c r="C62" s="231">
        <v>2</v>
      </c>
      <c r="D62" s="231">
        <v>1</v>
      </c>
      <c r="E62" s="401"/>
      <c r="F62" s="156" t="s">
        <v>30</v>
      </c>
      <c r="G62" s="287">
        <v>300000</v>
      </c>
      <c r="H62" s="287"/>
      <c r="I62" s="288"/>
      <c r="J62" s="289" t="e">
        <f t="shared" si="0"/>
        <v>#DIV/0!</v>
      </c>
      <c r="K62" s="290"/>
      <c r="L62" s="287"/>
      <c r="M62" s="291" t="e">
        <f t="shared" si="2"/>
        <v>#DIV/0!</v>
      </c>
      <c r="N62" s="287"/>
      <c r="O62" s="287"/>
      <c r="P62" s="291" t="e">
        <f t="shared" si="3"/>
        <v>#DIV/0!</v>
      </c>
      <c r="Q62" s="280">
        <f>N62+K62+H62</f>
        <v>0</v>
      </c>
      <c r="R62" s="280">
        <f>O62+L62+I62</f>
        <v>0</v>
      </c>
      <c r="S62" s="292" t="e">
        <f t="shared" si="20"/>
        <v>#DIV/0!</v>
      </c>
      <c r="T62" s="287"/>
      <c r="U62" s="288"/>
      <c r="V62" s="291" t="e">
        <f t="shared" si="4"/>
        <v>#DIV/0!</v>
      </c>
      <c r="W62" s="287"/>
      <c r="X62" s="288"/>
      <c r="Y62" s="291" t="e">
        <f t="shared" si="5"/>
        <v>#DIV/0!</v>
      </c>
      <c r="Z62" s="287"/>
      <c r="AA62" s="288"/>
      <c r="AB62" s="291" t="e">
        <f t="shared" si="6"/>
        <v>#DIV/0!</v>
      </c>
      <c r="AC62" s="280">
        <f>Z62+W62+T62</f>
        <v>0</v>
      </c>
      <c r="AD62" s="280">
        <f>AA62+X62+U62</f>
        <v>0</v>
      </c>
      <c r="AE62" s="292" t="e">
        <f t="shared" si="38"/>
        <v>#DIV/0!</v>
      </c>
      <c r="AF62" s="287"/>
      <c r="AG62" s="288"/>
      <c r="AH62" s="293" t="e">
        <f t="shared" si="8"/>
        <v>#DIV/0!</v>
      </c>
      <c r="AI62" s="287"/>
      <c r="AJ62" s="288"/>
      <c r="AK62" s="294" t="e">
        <f t="shared" si="9"/>
        <v>#DIV/0!</v>
      </c>
      <c r="AL62" s="155"/>
      <c r="AM62" s="155"/>
      <c r="AN62" s="295" t="e">
        <f t="shared" si="10"/>
        <v>#DIV/0!</v>
      </c>
      <c r="AO62" s="300">
        <f>AL62+AI62+AF62</f>
        <v>0</v>
      </c>
      <c r="AP62" s="300">
        <f>AM62+AJ62+AG62</f>
        <v>0</v>
      </c>
      <c r="AQ62" s="292" t="e">
        <f>AP62/AO62</f>
        <v>#DIV/0!</v>
      </c>
      <c r="AR62" s="287"/>
      <c r="AS62" s="287"/>
      <c r="AT62" s="295" t="e">
        <f t="shared" si="13"/>
        <v>#DIV/0!</v>
      </c>
      <c r="AU62" s="287"/>
      <c r="AV62" s="287"/>
      <c r="AW62" s="295" t="e">
        <f t="shared" si="14"/>
        <v>#DIV/0!</v>
      </c>
      <c r="AX62" s="287"/>
      <c r="AY62" s="288"/>
      <c r="AZ62" s="294" t="e">
        <f t="shared" si="15"/>
        <v>#DIV/0!</v>
      </c>
      <c r="BA62" s="280">
        <f>AX62+AU62+AR62</f>
        <v>0</v>
      </c>
      <c r="BB62" s="280">
        <f>AY62+AV62+AS62</f>
        <v>0</v>
      </c>
      <c r="BC62" s="292" t="e">
        <f>BB62/BA62</f>
        <v>#DIV/0!</v>
      </c>
      <c r="BD62" s="304">
        <f>I62+L62+O62+U62+X62+AA62+AG62+AJ62+AM62+AS62+AV62+AY62</f>
        <v>0</v>
      </c>
      <c r="BE62" s="296">
        <f t="shared" si="17"/>
        <v>0</v>
      </c>
      <c r="BF62" s="297">
        <f t="shared" si="21"/>
        <v>300000</v>
      </c>
    </row>
    <row r="63" spans="1:58" ht="13.5" thickBot="1">
      <c r="A63" s="335">
        <v>2</v>
      </c>
      <c r="B63" s="336">
        <v>2</v>
      </c>
      <c r="C63" s="336">
        <v>2</v>
      </c>
      <c r="D63" s="336">
        <v>2</v>
      </c>
      <c r="E63" s="407"/>
      <c r="F63" s="222" t="s">
        <v>71</v>
      </c>
      <c r="G63" s="337">
        <v>900000</v>
      </c>
      <c r="H63" s="337"/>
      <c r="I63" s="338"/>
      <c r="J63" s="339" t="e">
        <f t="shared" si="0"/>
        <v>#DIV/0!</v>
      </c>
      <c r="K63" s="340"/>
      <c r="L63" s="337">
        <v>1062</v>
      </c>
      <c r="M63" s="269" t="e">
        <f t="shared" si="2"/>
        <v>#DIV/0!</v>
      </c>
      <c r="N63" s="337"/>
      <c r="O63" s="337">
        <v>334</v>
      </c>
      <c r="P63" s="269" t="e">
        <f t="shared" si="3"/>
        <v>#DIV/0!</v>
      </c>
      <c r="Q63" s="341">
        <f>N63+K63+H63</f>
        <v>0</v>
      </c>
      <c r="R63" s="341">
        <f>O63+L63+I63</f>
        <v>1396</v>
      </c>
      <c r="S63" s="342" t="e">
        <f t="shared" si="20"/>
        <v>#DIV/0!</v>
      </c>
      <c r="T63" s="337"/>
      <c r="U63" s="338"/>
      <c r="V63" s="269" t="e">
        <f t="shared" si="4"/>
        <v>#DIV/0!</v>
      </c>
      <c r="W63" s="337"/>
      <c r="X63" s="338"/>
      <c r="Y63" s="269" t="e">
        <f t="shared" si="5"/>
        <v>#DIV/0!</v>
      </c>
      <c r="Z63" s="337"/>
      <c r="AA63" s="338"/>
      <c r="AB63" s="269" t="e">
        <f t="shared" si="6"/>
        <v>#DIV/0!</v>
      </c>
      <c r="AC63" s="341">
        <f>Z63+W63+T63</f>
        <v>0</v>
      </c>
      <c r="AD63" s="341">
        <f>AA63+X63+U63</f>
        <v>0</v>
      </c>
      <c r="AE63" s="342" t="e">
        <f t="shared" si="38"/>
        <v>#DIV/0!</v>
      </c>
      <c r="AF63" s="337"/>
      <c r="AG63" s="338"/>
      <c r="AH63" s="271" t="e">
        <f t="shared" si="8"/>
        <v>#DIV/0!</v>
      </c>
      <c r="AI63" s="337"/>
      <c r="AJ63" s="338"/>
      <c r="AK63" s="266" t="e">
        <f t="shared" si="9"/>
        <v>#DIV/0!</v>
      </c>
      <c r="AL63" s="253"/>
      <c r="AM63" s="253"/>
      <c r="AN63" s="265" t="e">
        <f t="shared" si="10"/>
        <v>#DIV/0!</v>
      </c>
      <c r="AO63" s="343">
        <f>AL63+AI63+AF63</f>
        <v>0</v>
      </c>
      <c r="AP63" s="343">
        <f>AM63+AJ63+AG63</f>
        <v>0</v>
      </c>
      <c r="AQ63" s="342" t="e">
        <f>AP63/AO63</f>
        <v>#DIV/0!</v>
      </c>
      <c r="AR63" s="337"/>
      <c r="AS63" s="337"/>
      <c r="AT63" s="265" t="e">
        <f t="shared" si="13"/>
        <v>#DIV/0!</v>
      </c>
      <c r="AU63" s="337"/>
      <c r="AV63" s="337"/>
      <c r="AW63" s="265" t="e">
        <f t="shared" si="14"/>
        <v>#DIV/0!</v>
      </c>
      <c r="AX63" s="337"/>
      <c r="AY63" s="338"/>
      <c r="AZ63" s="266" t="e">
        <f t="shared" si="15"/>
        <v>#DIV/0!</v>
      </c>
      <c r="BA63" s="341">
        <f>AX63+AU63+AR63</f>
        <v>0</v>
      </c>
      <c r="BB63" s="341">
        <f>AY63+AV63+AS63</f>
        <v>0</v>
      </c>
      <c r="BC63" s="342" t="e">
        <f>BB63/BA63</f>
        <v>#DIV/0!</v>
      </c>
      <c r="BD63" s="344">
        <f>I63+L63+O63+U63+X63+AA63+AG63+AJ63+AM63+AS63+AV63+AY63</f>
        <v>1396</v>
      </c>
      <c r="BE63" s="345">
        <f t="shared" si="17"/>
        <v>0.0015511111111111112</v>
      </c>
      <c r="BF63" s="346">
        <f t="shared" si="21"/>
        <v>898604</v>
      </c>
    </row>
    <row r="64" spans="1:58" ht="13.5" thickBot="1">
      <c r="A64" s="272"/>
      <c r="B64" s="273"/>
      <c r="C64" s="273"/>
      <c r="D64" s="273"/>
      <c r="E64" s="406"/>
      <c r="F64" s="165"/>
      <c r="G64" s="274"/>
      <c r="H64" s="274"/>
      <c r="I64" s="275"/>
      <c r="J64" s="276"/>
      <c r="K64" s="277"/>
      <c r="L64" s="278"/>
      <c r="M64" s="279"/>
      <c r="N64" s="278"/>
      <c r="O64" s="278"/>
      <c r="P64" s="279"/>
      <c r="Q64" s="330"/>
      <c r="R64" s="330"/>
      <c r="S64" s="281"/>
      <c r="T64" s="274"/>
      <c r="U64" s="275"/>
      <c r="V64" s="279"/>
      <c r="W64" s="274"/>
      <c r="X64" s="275"/>
      <c r="Y64" s="279"/>
      <c r="Z64" s="274"/>
      <c r="AA64" s="275"/>
      <c r="AB64" s="279"/>
      <c r="AC64" s="330"/>
      <c r="AD64" s="330"/>
      <c r="AE64" s="281"/>
      <c r="AF64" s="274"/>
      <c r="AG64" s="275"/>
      <c r="AH64" s="282"/>
      <c r="AI64" s="274"/>
      <c r="AJ64" s="275"/>
      <c r="AK64" s="283"/>
      <c r="AL64" s="169"/>
      <c r="AM64" s="169"/>
      <c r="AN64" s="274"/>
      <c r="AO64" s="278"/>
      <c r="AP64" s="278"/>
      <c r="AQ64" s="281"/>
      <c r="AR64" s="278"/>
      <c r="AS64" s="278"/>
      <c r="AT64" s="274"/>
      <c r="AU64" s="278"/>
      <c r="AV64" s="278"/>
      <c r="AW64" s="274"/>
      <c r="AX64" s="278"/>
      <c r="AY64" s="275"/>
      <c r="AZ64" s="283"/>
      <c r="BA64" s="330"/>
      <c r="BB64" s="330"/>
      <c r="BC64" s="281"/>
      <c r="BD64" s="283"/>
      <c r="BE64" s="279"/>
      <c r="BF64" s="285"/>
    </row>
    <row r="65" spans="1:58" ht="13.5" thickBot="1">
      <c r="A65" s="286">
        <v>2</v>
      </c>
      <c r="B65" s="231">
        <v>2</v>
      </c>
      <c r="C65" s="231">
        <v>3</v>
      </c>
      <c r="D65" s="299"/>
      <c r="E65" s="403"/>
      <c r="F65" s="156" t="s">
        <v>141</v>
      </c>
      <c r="G65" s="287">
        <f>+G66+G67</f>
        <v>1125000</v>
      </c>
      <c r="H65" s="287">
        <f>+H66+H67</f>
        <v>0</v>
      </c>
      <c r="I65" s="288">
        <f>+I66+I67</f>
        <v>47915</v>
      </c>
      <c r="J65" s="289" t="e">
        <f t="shared" si="0"/>
        <v>#DIV/0!</v>
      </c>
      <c r="K65" s="290">
        <f>+K66+K67</f>
        <v>0</v>
      </c>
      <c r="L65" s="287">
        <f>+L66+L67</f>
        <v>190840</v>
      </c>
      <c r="M65" s="291" t="e">
        <f t="shared" si="2"/>
        <v>#DIV/0!</v>
      </c>
      <c r="N65" s="287">
        <f>+N66+N67</f>
        <v>0</v>
      </c>
      <c r="O65" s="287">
        <f>+O66+O67</f>
        <v>104623</v>
      </c>
      <c r="P65" s="291" t="e">
        <f t="shared" si="3"/>
        <v>#DIV/0!</v>
      </c>
      <c r="Q65" s="287">
        <f>+Q66+Q67</f>
        <v>0</v>
      </c>
      <c r="R65" s="287">
        <f>+R66+R67</f>
        <v>343378</v>
      </c>
      <c r="S65" s="292" t="e">
        <f t="shared" si="20"/>
        <v>#DIV/0!</v>
      </c>
      <c r="T65" s="287">
        <f>+T66+T67</f>
        <v>0</v>
      </c>
      <c r="U65" s="288">
        <f>+U66+U67</f>
        <v>0</v>
      </c>
      <c r="V65" s="291" t="e">
        <f t="shared" si="4"/>
        <v>#DIV/0!</v>
      </c>
      <c r="W65" s="287">
        <f>+W66+W67</f>
        <v>0</v>
      </c>
      <c r="X65" s="288">
        <f>+X66+X67</f>
        <v>0</v>
      </c>
      <c r="Y65" s="291" t="e">
        <f t="shared" si="5"/>
        <v>#DIV/0!</v>
      </c>
      <c r="Z65" s="287">
        <f>+Z66+Z67</f>
        <v>0</v>
      </c>
      <c r="AA65" s="288">
        <f>+AA66+AA67</f>
        <v>0</v>
      </c>
      <c r="AB65" s="291" t="e">
        <f t="shared" si="6"/>
        <v>#DIV/0!</v>
      </c>
      <c r="AC65" s="287">
        <f>+AC66+AC67</f>
        <v>0</v>
      </c>
      <c r="AD65" s="287">
        <f>+AD66+AD67</f>
        <v>0</v>
      </c>
      <c r="AE65" s="292" t="e">
        <f t="shared" si="38"/>
        <v>#DIV/0!</v>
      </c>
      <c r="AF65" s="287">
        <f>+AF66+AF67</f>
        <v>0</v>
      </c>
      <c r="AG65" s="288">
        <f>+AG66+AG67</f>
        <v>0</v>
      </c>
      <c r="AH65" s="293" t="e">
        <f t="shared" si="8"/>
        <v>#DIV/0!</v>
      </c>
      <c r="AI65" s="287">
        <f>+AI66+AI67</f>
        <v>0</v>
      </c>
      <c r="AJ65" s="288">
        <f>+AJ66+AJ67</f>
        <v>0</v>
      </c>
      <c r="AK65" s="294" t="e">
        <f t="shared" si="9"/>
        <v>#DIV/0!</v>
      </c>
      <c r="AL65" s="287">
        <f>+AL66+AL67</f>
        <v>0</v>
      </c>
      <c r="AM65" s="287">
        <f>+AM66+AM67</f>
        <v>0</v>
      </c>
      <c r="AN65" s="295" t="e">
        <f t="shared" si="10"/>
        <v>#DIV/0!</v>
      </c>
      <c r="AO65" s="287">
        <f>+AO66+AO67</f>
        <v>0</v>
      </c>
      <c r="AP65" s="287">
        <f>+AP66+AP67</f>
        <v>0</v>
      </c>
      <c r="AQ65" s="292" t="e">
        <f>AP65/AO65</f>
        <v>#DIV/0!</v>
      </c>
      <c r="AR65" s="287"/>
      <c r="AS65" s="287"/>
      <c r="AT65" s="295" t="e">
        <f t="shared" si="13"/>
        <v>#DIV/0!</v>
      </c>
      <c r="AU65" s="287"/>
      <c r="AV65" s="287"/>
      <c r="AW65" s="295" t="e">
        <f t="shared" si="14"/>
        <v>#DIV/0!</v>
      </c>
      <c r="AX65" s="287">
        <f>+AX66+AX67</f>
        <v>0</v>
      </c>
      <c r="AY65" s="288">
        <f>+AY66+AY67</f>
        <v>0</v>
      </c>
      <c r="AZ65" s="294" t="e">
        <f t="shared" si="15"/>
        <v>#DIV/0!</v>
      </c>
      <c r="BA65" s="287">
        <f>+BA66+BA67</f>
        <v>0</v>
      </c>
      <c r="BB65" s="287">
        <f>+BB66+BB67</f>
        <v>0</v>
      </c>
      <c r="BC65" s="292" t="e">
        <f>BB65/BA65</f>
        <v>#DIV/0!</v>
      </c>
      <c r="BD65" s="288">
        <f>+BD66+BD67</f>
        <v>343378</v>
      </c>
      <c r="BE65" s="296">
        <f t="shared" si="17"/>
        <v>0.3052248888888889</v>
      </c>
      <c r="BF65" s="297">
        <f t="shared" si="21"/>
        <v>781622</v>
      </c>
    </row>
    <row r="66" spans="1:58" ht="13.5" thickBot="1">
      <c r="A66" s="286">
        <v>2</v>
      </c>
      <c r="B66" s="231">
        <v>2</v>
      </c>
      <c r="C66" s="231">
        <v>3</v>
      </c>
      <c r="D66" s="231">
        <v>1</v>
      </c>
      <c r="E66" s="401"/>
      <c r="F66" s="156" t="s">
        <v>124</v>
      </c>
      <c r="G66" s="287">
        <v>1000000</v>
      </c>
      <c r="H66" s="287"/>
      <c r="I66" s="288">
        <v>47915</v>
      </c>
      <c r="J66" s="289" t="e">
        <f t="shared" si="0"/>
        <v>#DIV/0!</v>
      </c>
      <c r="K66" s="290"/>
      <c r="L66" s="287">
        <v>190840</v>
      </c>
      <c r="M66" s="291" t="e">
        <f t="shared" si="2"/>
        <v>#DIV/0!</v>
      </c>
      <c r="N66" s="287"/>
      <c r="O66" s="287">
        <v>104623</v>
      </c>
      <c r="P66" s="291" t="e">
        <f t="shared" si="3"/>
        <v>#DIV/0!</v>
      </c>
      <c r="Q66" s="280">
        <f>N66+K66+H66</f>
        <v>0</v>
      </c>
      <c r="R66" s="280">
        <f>O66+L66+I66</f>
        <v>343378</v>
      </c>
      <c r="S66" s="292" t="e">
        <f t="shared" si="20"/>
        <v>#DIV/0!</v>
      </c>
      <c r="T66" s="287"/>
      <c r="U66" s="288"/>
      <c r="V66" s="291" t="e">
        <f t="shared" si="4"/>
        <v>#DIV/0!</v>
      </c>
      <c r="W66" s="287"/>
      <c r="X66" s="288"/>
      <c r="Y66" s="291" t="e">
        <f t="shared" si="5"/>
        <v>#DIV/0!</v>
      </c>
      <c r="Z66" s="287"/>
      <c r="AA66" s="288"/>
      <c r="AB66" s="291" t="e">
        <f t="shared" si="6"/>
        <v>#DIV/0!</v>
      </c>
      <c r="AC66" s="280">
        <f>Z66+W66+T66</f>
        <v>0</v>
      </c>
      <c r="AD66" s="280">
        <f>AA66+X66+U66</f>
        <v>0</v>
      </c>
      <c r="AE66" s="292" t="e">
        <f t="shared" si="38"/>
        <v>#DIV/0!</v>
      </c>
      <c r="AF66" s="287"/>
      <c r="AG66" s="288"/>
      <c r="AH66" s="293" t="e">
        <f t="shared" si="8"/>
        <v>#DIV/0!</v>
      </c>
      <c r="AI66" s="287"/>
      <c r="AJ66" s="288"/>
      <c r="AK66" s="294" t="e">
        <f t="shared" si="9"/>
        <v>#DIV/0!</v>
      </c>
      <c r="AL66" s="155"/>
      <c r="AM66" s="155"/>
      <c r="AN66" s="295" t="e">
        <f t="shared" si="10"/>
        <v>#DIV/0!</v>
      </c>
      <c r="AO66" s="300">
        <f>AL66+AI66+AF66</f>
        <v>0</v>
      </c>
      <c r="AP66" s="300">
        <f>AM66+AJ66+AG66</f>
        <v>0</v>
      </c>
      <c r="AQ66" s="292" t="e">
        <f>AP66/AO66</f>
        <v>#DIV/0!</v>
      </c>
      <c r="AR66" s="287"/>
      <c r="AS66" s="287"/>
      <c r="AT66" s="295" t="e">
        <f t="shared" si="13"/>
        <v>#DIV/0!</v>
      </c>
      <c r="AU66" s="287"/>
      <c r="AV66" s="287"/>
      <c r="AW66" s="295" t="e">
        <f t="shared" si="14"/>
        <v>#DIV/0!</v>
      </c>
      <c r="AX66" s="287"/>
      <c r="AY66" s="288"/>
      <c r="AZ66" s="294" t="e">
        <f t="shared" si="15"/>
        <v>#DIV/0!</v>
      </c>
      <c r="BA66" s="280">
        <f>AX66+AU66+AR66</f>
        <v>0</v>
      </c>
      <c r="BB66" s="280">
        <f>AY66+AV66+AS66</f>
        <v>0</v>
      </c>
      <c r="BC66" s="292" t="e">
        <f>BB66/BA66</f>
        <v>#DIV/0!</v>
      </c>
      <c r="BD66" s="344">
        <f>I66+L66+O66+U66+X66+AA66+AG66+AJ66+AM66+AS66+AV66+AY66</f>
        <v>343378</v>
      </c>
      <c r="BE66" s="296">
        <f t="shared" si="17"/>
        <v>0.343378</v>
      </c>
      <c r="BF66" s="297">
        <f t="shared" si="21"/>
        <v>656622</v>
      </c>
    </row>
    <row r="67" spans="1:58" ht="13.5" thickBot="1">
      <c r="A67" s="286">
        <v>2</v>
      </c>
      <c r="B67" s="231">
        <v>2</v>
      </c>
      <c r="C67" s="231">
        <v>3</v>
      </c>
      <c r="D67" s="231">
        <v>2</v>
      </c>
      <c r="E67" s="401"/>
      <c r="F67" s="156" t="s">
        <v>125</v>
      </c>
      <c r="G67" s="287">
        <v>125000</v>
      </c>
      <c r="H67" s="287"/>
      <c r="I67" s="288"/>
      <c r="J67" s="289" t="e">
        <f t="shared" si="0"/>
        <v>#DIV/0!</v>
      </c>
      <c r="K67" s="290"/>
      <c r="L67" s="287"/>
      <c r="M67" s="291" t="e">
        <f t="shared" si="2"/>
        <v>#DIV/0!</v>
      </c>
      <c r="N67" s="287"/>
      <c r="O67" s="287"/>
      <c r="P67" s="291" t="e">
        <f t="shared" si="3"/>
        <v>#DIV/0!</v>
      </c>
      <c r="Q67" s="280">
        <f>N67+K67+H67</f>
        <v>0</v>
      </c>
      <c r="R67" s="280">
        <f>O67+L67+I67</f>
        <v>0</v>
      </c>
      <c r="S67" s="292" t="e">
        <f t="shared" si="20"/>
        <v>#DIV/0!</v>
      </c>
      <c r="T67" s="287"/>
      <c r="U67" s="288"/>
      <c r="V67" s="291" t="e">
        <f t="shared" si="4"/>
        <v>#DIV/0!</v>
      </c>
      <c r="W67" s="287"/>
      <c r="X67" s="288"/>
      <c r="Y67" s="291" t="e">
        <f t="shared" si="5"/>
        <v>#DIV/0!</v>
      </c>
      <c r="Z67" s="287"/>
      <c r="AA67" s="288"/>
      <c r="AB67" s="291" t="e">
        <f t="shared" si="6"/>
        <v>#DIV/0!</v>
      </c>
      <c r="AC67" s="280">
        <f>Z67+W67+T67</f>
        <v>0</v>
      </c>
      <c r="AD67" s="280">
        <f>AA67+X67+U67</f>
        <v>0</v>
      </c>
      <c r="AE67" s="292" t="e">
        <f t="shared" si="38"/>
        <v>#DIV/0!</v>
      </c>
      <c r="AF67" s="287"/>
      <c r="AG67" s="288"/>
      <c r="AH67" s="293" t="e">
        <f t="shared" si="8"/>
        <v>#DIV/0!</v>
      </c>
      <c r="AI67" s="287"/>
      <c r="AJ67" s="288"/>
      <c r="AK67" s="294" t="e">
        <f t="shared" si="9"/>
        <v>#DIV/0!</v>
      </c>
      <c r="AL67" s="155"/>
      <c r="AM67" s="155"/>
      <c r="AN67" s="295" t="e">
        <f t="shared" si="10"/>
        <v>#DIV/0!</v>
      </c>
      <c r="AO67" s="300">
        <f>AL67+AI67+AF67</f>
        <v>0</v>
      </c>
      <c r="AP67" s="300">
        <f>AM67+AJ67+AG67</f>
        <v>0</v>
      </c>
      <c r="AQ67" s="292" t="e">
        <f>AP67/AO67</f>
        <v>#DIV/0!</v>
      </c>
      <c r="AR67" s="287"/>
      <c r="AS67" s="287"/>
      <c r="AT67" s="295" t="e">
        <f t="shared" si="13"/>
        <v>#DIV/0!</v>
      </c>
      <c r="AU67" s="287"/>
      <c r="AV67" s="287"/>
      <c r="AW67" s="295" t="e">
        <f t="shared" si="14"/>
        <v>#DIV/0!</v>
      </c>
      <c r="AX67" s="287"/>
      <c r="AY67" s="288"/>
      <c r="AZ67" s="294" t="e">
        <f t="shared" si="15"/>
        <v>#DIV/0!</v>
      </c>
      <c r="BA67" s="280">
        <f>AX67+AU67+AR67</f>
        <v>0</v>
      </c>
      <c r="BB67" s="280">
        <f>AY67+AV67+AS67</f>
        <v>0</v>
      </c>
      <c r="BC67" s="292" t="e">
        <f>BB67/BA67</f>
        <v>#DIV/0!</v>
      </c>
      <c r="BD67" s="344">
        <f>I67+L67+O67+U67+X67+AA67+AG67+AJ67+AM67+AS67+AV67+AY67</f>
        <v>0</v>
      </c>
      <c r="BE67" s="296">
        <f t="shared" si="17"/>
        <v>0</v>
      </c>
      <c r="BF67" s="297">
        <f t="shared" si="21"/>
        <v>125000</v>
      </c>
    </row>
    <row r="68" spans="1:58" ht="13.5" thickBot="1">
      <c r="A68" s="286"/>
      <c r="B68" s="231"/>
      <c r="C68" s="231"/>
      <c r="D68" s="231"/>
      <c r="E68" s="403"/>
      <c r="F68" s="156"/>
      <c r="G68" s="287"/>
      <c r="H68" s="287"/>
      <c r="I68" s="304"/>
      <c r="J68" s="289"/>
      <c r="K68" s="302"/>
      <c r="L68" s="300"/>
      <c r="M68" s="291"/>
      <c r="N68" s="300"/>
      <c r="O68" s="300"/>
      <c r="P68" s="291"/>
      <c r="Q68" s="280"/>
      <c r="R68" s="280"/>
      <c r="S68" s="292"/>
      <c r="T68" s="287"/>
      <c r="U68" s="304"/>
      <c r="V68" s="291"/>
      <c r="W68" s="287"/>
      <c r="X68" s="304"/>
      <c r="Y68" s="291"/>
      <c r="Z68" s="287"/>
      <c r="AA68" s="304"/>
      <c r="AB68" s="291"/>
      <c r="AC68" s="280"/>
      <c r="AD68" s="280"/>
      <c r="AE68" s="292"/>
      <c r="AF68" s="287"/>
      <c r="AG68" s="304"/>
      <c r="AH68" s="293"/>
      <c r="AI68" s="287"/>
      <c r="AJ68" s="304"/>
      <c r="AK68" s="294"/>
      <c r="AL68" s="90"/>
      <c r="AM68" s="90"/>
      <c r="AN68" s="295"/>
      <c r="AO68" s="300"/>
      <c r="AP68" s="300"/>
      <c r="AQ68" s="292"/>
      <c r="AR68" s="300"/>
      <c r="AS68" s="300"/>
      <c r="AT68" s="295"/>
      <c r="AU68" s="300"/>
      <c r="AV68" s="300"/>
      <c r="AW68" s="295"/>
      <c r="AX68" s="300"/>
      <c r="AY68" s="304"/>
      <c r="AZ68" s="294"/>
      <c r="BA68" s="280"/>
      <c r="BB68" s="280"/>
      <c r="BC68" s="292"/>
      <c r="BD68" s="288"/>
      <c r="BE68" s="296"/>
      <c r="BF68" s="308"/>
    </row>
    <row r="69" spans="1:58" ht="13.5" thickBot="1">
      <c r="A69" s="286">
        <v>2</v>
      </c>
      <c r="B69" s="231">
        <v>2</v>
      </c>
      <c r="C69" s="231">
        <v>4</v>
      </c>
      <c r="D69" s="299"/>
      <c r="E69" s="403"/>
      <c r="F69" s="156" t="s">
        <v>161</v>
      </c>
      <c r="G69" s="287">
        <f>+G70+G71</f>
        <v>315000</v>
      </c>
      <c r="H69" s="287">
        <f>+H70+H71</f>
        <v>0</v>
      </c>
      <c r="I69" s="288">
        <f>+I70+I71</f>
        <v>30</v>
      </c>
      <c r="J69" s="289" t="e">
        <f t="shared" si="0"/>
        <v>#DIV/0!</v>
      </c>
      <c r="K69" s="290">
        <f>+K70+K71</f>
        <v>0</v>
      </c>
      <c r="L69" s="287">
        <f>+L70+L71</f>
        <v>48574</v>
      </c>
      <c r="M69" s="291" t="e">
        <f t="shared" si="2"/>
        <v>#DIV/0!</v>
      </c>
      <c r="N69" s="287">
        <f>+N70+N71</f>
        <v>0</v>
      </c>
      <c r="O69" s="287">
        <f>+O70+O71</f>
        <v>480</v>
      </c>
      <c r="P69" s="291" t="e">
        <f t="shared" si="3"/>
        <v>#DIV/0!</v>
      </c>
      <c r="Q69" s="287">
        <f>+Q70+Q71</f>
        <v>0</v>
      </c>
      <c r="R69" s="287">
        <f>+R70+R71</f>
        <v>49084</v>
      </c>
      <c r="S69" s="292" t="e">
        <f t="shared" si="20"/>
        <v>#DIV/0!</v>
      </c>
      <c r="T69" s="287">
        <f>+T70+T71</f>
        <v>0</v>
      </c>
      <c r="U69" s="288">
        <f>+U70+U71</f>
        <v>0</v>
      </c>
      <c r="V69" s="291" t="e">
        <f t="shared" si="4"/>
        <v>#DIV/0!</v>
      </c>
      <c r="W69" s="287">
        <f>+W70+W71</f>
        <v>0</v>
      </c>
      <c r="X69" s="288">
        <f>+X70+X71</f>
        <v>0</v>
      </c>
      <c r="Y69" s="291" t="e">
        <f t="shared" si="5"/>
        <v>#DIV/0!</v>
      </c>
      <c r="Z69" s="287">
        <f>+Z70+Z71</f>
        <v>0</v>
      </c>
      <c r="AA69" s="288">
        <f>+AA70+AA71</f>
        <v>0</v>
      </c>
      <c r="AB69" s="291" t="e">
        <f t="shared" si="6"/>
        <v>#DIV/0!</v>
      </c>
      <c r="AC69" s="287">
        <f>+AC70+AC71</f>
        <v>0</v>
      </c>
      <c r="AD69" s="287">
        <f>+AD70+AD71</f>
        <v>0</v>
      </c>
      <c r="AE69" s="292" t="e">
        <f t="shared" si="38"/>
        <v>#DIV/0!</v>
      </c>
      <c r="AF69" s="287">
        <f>+AF70+AF71</f>
        <v>0</v>
      </c>
      <c r="AG69" s="288">
        <f>+AG70+AG71</f>
        <v>0</v>
      </c>
      <c r="AH69" s="293" t="e">
        <f t="shared" si="8"/>
        <v>#DIV/0!</v>
      </c>
      <c r="AI69" s="287">
        <f>+AI70+AI71</f>
        <v>0</v>
      </c>
      <c r="AJ69" s="288">
        <f>+AJ70+AJ71</f>
        <v>0</v>
      </c>
      <c r="AK69" s="294" t="e">
        <f t="shared" si="9"/>
        <v>#DIV/0!</v>
      </c>
      <c r="AL69" s="287">
        <f>+AL70+AL71</f>
        <v>0</v>
      </c>
      <c r="AM69" s="287">
        <f>+AM70+AM71</f>
        <v>0</v>
      </c>
      <c r="AN69" s="295" t="e">
        <f t="shared" si="10"/>
        <v>#DIV/0!</v>
      </c>
      <c r="AO69" s="287">
        <f>+AO70+AO71</f>
        <v>0</v>
      </c>
      <c r="AP69" s="287">
        <f>+AP70+AP71</f>
        <v>0</v>
      </c>
      <c r="AQ69" s="292" t="e">
        <f>AP69/AO69</f>
        <v>#DIV/0!</v>
      </c>
      <c r="AR69" s="287"/>
      <c r="AS69" s="287"/>
      <c r="AT69" s="295" t="e">
        <f t="shared" si="13"/>
        <v>#DIV/0!</v>
      </c>
      <c r="AU69" s="287"/>
      <c r="AV69" s="287"/>
      <c r="AW69" s="295" t="e">
        <f t="shared" si="14"/>
        <v>#DIV/0!</v>
      </c>
      <c r="AX69" s="287">
        <f>+AX70+AX71</f>
        <v>0</v>
      </c>
      <c r="AY69" s="288">
        <f>+AY70+AY71</f>
        <v>0</v>
      </c>
      <c r="AZ69" s="294" t="e">
        <f t="shared" si="15"/>
        <v>#DIV/0!</v>
      </c>
      <c r="BA69" s="287">
        <f>+BA70+BA71</f>
        <v>0</v>
      </c>
      <c r="BB69" s="287">
        <f>+BB70+BB71</f>
        <v>0</v>
      </c>
      <c r="BC69" s="292" t="e">
        <f>BB69/BA69</f>
        <v>#DIV/0!</v>
      </c>
      <c r="BD69" s="288">
        <f>+BD70+BD71</f>
        <v>49084</v>
      </c>
      <c r="BE69" s="296">
        <f t="shared" si="17"/>
        <v>0.15582222222222222</v>
      </c>
      <c r="BF69" s="297">
        <f t="shared" si="21"/>
        <v>265916</v>
      </c>
    </row>
    <row r="70" spans="1:58" ht="13.5" thickBot="1">
      <c r="A70" s="286">
        <v>2</v>
      </c>
      <c r="B70" s="231">
        <v>2</v>
      </c>
      <c r="C70" s="231">
        <v>4</v>
      </c>
      <c r="D70" s="231">
        <v>1</v>
      </c>
      <c r="E70" s="401"/>
      <c r="F70" s="156" t="s">
        <v>8</v>
      </c>
      <c r="G70" s="287">
        <v>300000</v>
      </c>
      <c r="H70" s="287"/>
      <c r="I70" s="288"/>
      <c r="J70" s="289" t="e">
        <f t="shared" si="0"/>
        <v>#DIV/0!</v>
      </c>
      <c r="K70" s="290"/>
      <c r="L70" s="287">
        <v>47864</v>
      </c>
      <c r="M70" s="291" t="e">
        <f t="shared" si="2"/>
        <v>#DIV/0!</v>
      </c>
      <c r="N70" s="287"/>
      <c r="O70" s="287"/>
      <c r="P70" s="291" t="e">
        <f t="shared" si="3"/>
        <v>#DIV/0!</v>
      </c>
      <c r="Q70" s="280">
        <f>N70+K70+H70</f>
        <v>0</v>
      </c>
      <c r="R70" s="280">
        <f>O70+L70+I70</f>
        <v>47864</v>
      </c>
      <c r="S70" s="292" t="e">
        <f t="shared" si="20"/>
        <v>#DIV/0!</v>
      </c>
      <c r="T70" s="287"/>
      <c r="U70" s="288"/>
      <c r="V70" s="291" t="e">
        <f t="shared" si="4"/>
        <v>#DIV/0!</v>
      </c>
      <c r="W70" s="287"/>
      <c r="X70" s="288"/>
      <c r="Y70" s="291" t="e">
        <f t="shared" si="5"/>
        <v>#DIV/0!</v>
      </c>
      <c r="Z70" s="287"/>
      <c r="AA70" s="288"/>
      <c r="AB70" s="291" t="e">
        <f t="shared" si="6"/>
        <v>#DIV/0!</v>
      </c>
      <c r="AC70" s="280">
        <f>Z70+W70+T70</f>
        <v>0</v>
      </c>
      <c r="AD70" s="280">
        <f>AA70+X70+U70</f>
        <v>0</v>
      </c>
      <c r="AE70" s="292" t="e">
        <f t="shared" si="38"/>
        <v>#DIV/0!</v>
      </c>
      <c r="AF70" s="287"/>
      <c r="AG70" s="288"/>
      <c r="AH70" s="293" t="e">
        <f t="shared" si="8"/>
        <v>#DIV/0!</v>
      </c>
      <c r="AI70" s="287"/>
      <c r="AJ70" s="288"/>
      <c r="AK70" s="294" t="e">
        <f t="shared" si="9"/>
        <v>#DIV/0!</v>
      </c>
      <c r="AL70" s="155"/>
      <c r="AM70" s="155"/>
      <c r="AN70" s="295" t="e">
        <f t="shared" si="10"/>
        <v>#DIV/0!</v>
      </c>
      <c r="AO70" s="300">
        <f>AL70+AI70+AF70</f>
        <v>0</v>
      </c>
      <c r="AP70" s="300">
        <f>AM70+AJ70+AG70</f>
        <v>0</v>
      </c>
      <c r="AQ70" s="292" t="e">
        <f>AP70/AO70</f>
        <v>#DIV/0!</v>
      </c>
      <c r="AR70" s="287"/>
      <c r="AS70" s="287"/>
      <c r="AT70" s="295" t="e">
        <f t="shared" si="13"/>
        <v>#DIV/0!</v>
      </c>
      <c r="AU70" s="287"/>
      <c r="AV70" s="287"/>
      <c r="AW70" s="295" t="e">
        <f t="shared" si="14"/>
        <v>#DIV/0!</v>
      </c>
      <c r="AX70" s="287"/>
      <c r="AY70" s="288"/>
      <c r="AZ70" s="294" t="e">
        <f t="shared" si="15"/>
        <v>#DIV/0!</v>
      </c>
      <c r="BA70" s="280">
        <f>AX70+AU70+AR70</f>
        <v>0</v>
      </c>
      <c r="BB70" s="280">
        <f>AY70+AV70+AS70</f>
        <v>0</v>
      </c>
      <c r="BC70" s="292" t="e">
        <f>BB70/BA70</f>
        <v>#DIV/0!</v>
      </c>
      <c r="BD70" s="304">
        <f>I70+L70+O70+U70+X70+AA70+AG70+AJ70+AM70+AS70+AV70+AY70</f>
        <v>47864</v>
      </c>
      <c r="BE70" s="296">
        <f t="shared" si="17"/>
        <v>0.15954666666666667</v>
      </c>
      <c r="BF70" s="297">
        <f t="shared" si="21"/>
        <v>252136</v>
      </c>
    </row>
    <row r="71" spans="1:58" ht="13.5" thickBot="1">
      <c r="A71" s="286">
        <v>2</v>
      </c>
      <c r="B71" s="231">
        <v>2</v>
      </c>
      <c r="C71" s="231">
        <v>4</v>
      </c>
      <c r="D71" s="231">
        <v>4</v>
      </c>
      <c r="E71" s="401"/>
      <c r="F71" s="156" t="s">
        <v>31</v>
      </c>
      <c r="G71" s="287">
        <v>15000</v>
      </c>
      <c r="H71" s="287"/>
      <c r="I71" s="288">
        <v>30</v>
      </c>
      <c r="J71" s="289" t="e">
        <f t="shared" si="0"/>
        <v>#DIV/0!</v>
      </c>
      <c r="K71" s="290"/>
      <c r="L71" s="287">
        <v>710</v>
      </c>
      <c r="M71" s="291" t="e">
        <f t="shared" si="2"/>
        <v>#DIV/0!</v>
      </c>
      <c r="N71" s="287"/>
      <c r="O71" s="287">
        <v>480</v>
      </c>
      <c r="P71" s="291" t="e">
        <f t="shared" si="3"/>
        <v>#DIV/0!</v>
      </c>
      <c r="Q71" s="280">
        <f>N71+K71+H71</f>
        <v>0</v>
      </c>
      <c r="R71" s="280">
        <f>O71+L71+I71</f>
        <v>1220</v>
      </c>
      <c r="S71" s="292" t="e">
        <f t="shared" si="20"/>
        <v>#DIV/0!</v>
      </c>
      <c r="T71" s="287"/>
      <c r="U71" s="288"/>
      <c r="V71" s="291" t="e">
        <f t="shared" si="4"/>
        <v>#DIV/0!</v>
      </c>
      <c r="W71" s="287"/>
      <c r="X71" s="288"/>
      <c r="Y71" s="291" t="e">
        <f t="shared" si="5"/>
        <v>#DIV/0!</v>
      </c>
      <c r="Z71" s="287"/>
      <c r="AA71" s="288"/>
      <c r="AB71" s="291" t="e">
        <f t="shared" si="6"/>
        <v>#DIV/0!</v>
      </c>
      <c r="AC71" s="280">
        <f>Z71+W71+T71</f>
        <v>0</v>
      </c>
      <c r="AD71" s="280">
        <f>AA71+X71+U71</f>
        <v>0</v>
      </c>
      <c r="AE71" s="292" t="e">
        <f t="shared" si="38"/>
        <v>#DIV/0!</v>
      </c>
      <c r="AF71" s="287"/>
      <c r="AG71" s="288"/>
      <c r="AH71" s="293" t="e">
        <f t="shared" si="8"/>
        <v>#DIV/0!</v>
      </c>
      <c r="AI71" s="287"/>
      <c r="AJ71" s="288"/>
      <c r="AK71" s="294" t="e">
        <f t="shared" si="9"/>
        <v>#DIV/0!</v>
      </c>
      <c r="AL71" s="155"/>
      <c r="AM71" s="155"/>
      <c r="AN71" s="295" t="e">
        <f t="shared" si="10"/>
        <v>#DIV/0!</v>
      </c>
      <c r="AO71" s="300">
        <f>AL71+AI71+AF71</f>
        <v>0</v>
      </c>
      <c r="AP71" s="300">
        <f>AM71+AJ71+AG71</f>
        <v>0</v>
      </c>
      <c r="AQ71" s="292" t="e">
        <f>AP71/AO71</f>
        <v>#DIV/0!</v>
      </c>
      <c r="AR71" s="287"/>
      <c r="AS71" s="287"/>
      <c r="AT71" s="295" t="e">
        <f t="shared" si="13"/>
        <v>#DIV/0!</v>
      </c>
      <c r="AU71" s="287"/>
      <c r="AV71" s="287"/>
      <c r="AW71" s="295" t="e">
        <f t="shared" si="14"/>
        <v>#DIV/0!</v>
      </c>
      <c r="AX71" s="287"/>
      <c r="AY71" s="288"/>
      <c r="AZ71" s="294" t="e">
        <f t="shared" si="15"/>
        <v>#DIV/0!</v>
      </c>
      <c r="BA71" s="280">
        <f>AX71+AU71+AR71</f>
        <v>0</v>
      </c>
      <c r="BB71" s="280">
        <f>AY71+AV71+AS71</f>
        <v>0</v>
      </c>
      <c r="BC71" s="292" t="e">
        <f>BB71/BA71</f>
        <v>#DIV/0!</v>
      </c>
      <c r="BD71" s="304">
        <f>I71+L71+O71+U71+X71+AA71+AG71+AJ71+AM71+AS71+AV71+AY71</f>
        <v>1220</v>
      </c>
      <c r="BE71" s="296">
        <f t="shared" si="17"/>
        <v>0.08133333333333333</v>
      </c>
      <c r="BF71" s="297">
        <f t="shared" si="21"/>
        <v>13780</v>
      </c>
    </row>
    <row r="72" spans="1:58" ht="13.5" thickBot="1">
      <c r="A72" s="286"/>
      <c r="B72" s="231"/>
      <c r="C72" s="231"/>
      <c r="D72" s="231"/>
      <c r="E72" s="403"/>
      <c r="F72" s="156"/>
      <c r="G72" s="287"/>
      <c r="H72" s="287"/>
      <c r="I72" s="304"/>
      <c r="J72" s="289"/>
      <c r="K72" s="302"/>
      <c r="L72" s="300"/>
      <c r="M72" s="291"/>
      <c r="N72" s="300"/>
      <c r="O72" s="300"/>
      <c r="P72" s="291"/>
      <c r="Q72" s="280"/>
      <c r="R72" s="280"/>
      <c r="S72" s="292"/>
      <c r="T72" s="287"/>
      <c r="U72" s="304"/>
      <c r="V72" s="291"/>
      <c r="W72" s="287"/>
      <c r="X72" s="304"/>
      <c r="Y72" s="291"/>
      <c r="Z72" s="287"/>
      <c r="AA72" s="304"/>
      <c r="AB72" s="291"/>
      <c r="AC72" s="280"/>
      <c r="AD72" s="280"/>
      <c r="AE72" s="292"/>
      <c r="AF72" s="287"/>
      <c r="AG72" s="304"/>
      <c r="AH72" s="293"/>
      <c r="AI72" s="287"/>
      <c r="AJ72" s="304"/>
      <c r="AK72" s="294"/>
      <c r="AL72" s="90"/>
      <c r="AM72" s="90"/>
      <c r="AN72" s="295"/>
      <c r="AO72" s="300"/>
      <c r="AP72" s="300"/>
      <c r="AQ72" s="292"/>
      <c r="AR72" s="300"/>
      <c r="AS72" s="300"/>
      <c r="AT72" s="295"/>
      <c r="AU72" s="300"/>
      <c r="AV72" s="300"/>
      <c r="AW72" s="295"/>
      <c r="AX72" s="300"/>
      <c r="AY72" s="304"/>
      <c r="AZ72" s="294"/>
      <c r="BA72" s="280"/>
      <c r="BB72" s="280"/>
      <c r="BC72" s="292"/>
      <c r="BD72" s="288"/>
      <c r="BE72" s="296"/>
      <c r="BF72" s="308"/>
    </row>
    <row r="73" spans="1:58" ht="13.5" thickBot="1">
      <c r="A73" s="286">
        <v>2</v>
      </c>
      <c r="B73" s="231">
        <v>2</v>
      </c>
      <c r="C73" s="231">
        <v>5</v>
      </c>
      <c r="D73" s="299"/>
      <c r="E73" s="403"/>
      <c r="F73" s="156" t="s">
        <v>32</v>
      </c>
      <c r="G73" s="287">
        <f>G74+G75</f>
        <v>400000</v>
      </c>
      <c r="H73" s="287">
        <f>H74+H75</f>
        <v>0</v>
      </c>
      <c r="I73" s="288">
        <f>I74+I75</f>
        <v>0</v>
      </c>
      <c r="J73" s="289" t="e">
        <f t="shared" si="0"/>
        <v>#DIV/0!</v>
      </c>
      <c r="K73" s="290">
        <f>K74+K75</f>
        <v>0</v>
      </c>
      <c r="L73" s="287">
        <f>L74+L75</f>
        <v>0</v>
      </c>
      <c r="M73" s="291" t="e">
        <f t="shared" si="2"/>
        <v>#DIV/0!</v>
      </c>
      <c r="N73" s="287">
        <f>N74+N75</f>
        <v>0</v>
      </c>
      <c r="O73" s="287">
        <f>O74+O75</f>
        <v>0</v>
      </c>
      <c r="P73" s="291" t="e">
        <f t="shared" si="3"/>
        <v>#DIV/0!</v>
      </c>
      <c r="Q73" s="287">
        <f>Q74+Q75</f>
        <v>0</v>
      </c>
      <c r="R73" s="287">
        <f>R74+R75</f>
        <v>0</v>
      </c>
      <c r="S73" s="292" t="e">
        <f t="shared" si="20"/>
        <v>#DIV/0!</v>
      </c>
      <c r="T73" s="287">
        <f>T74+T75</f>
        <v>0</v>
      </c>
      <c r="U73" s="288">
        <f>U74+U75</f>
        <v>0</v>
      </c>
      <c r="V73" s="291" t="e">
        <f t="shared" si="4"/>
        <v>#DIV/0!</v>
      </c>
      <c r="W73" s="287">
        <f>W74+W75</f>
        <v>0</v>
      </c>
      <c r="X73" s="288">
        <f>X74+X75</f>
        <v>0</v>
      </c>
      <c r="Y73" s="291" t="e">
        <f t="shared" si="5"/>
        <v>#DIV/0!</v>
      </c>
      <c r="Z73" s="287">
        <f>Z74+Z75</f>
        <v>0</v>
      </c>
      <c r="AA73" s="288">
        <f>AA74+AA75</f>
        <v>0</v>
      </c>
      <c r="AB73" s="291" t="e">
        <f t="shared" si="6"/>
        <v>#DIV/0!</v>
      </c>
      <c r="AC73" s="287">
        <f>AC74+AC75</f>
        <v>0</v>
      </c>
      <c r="AD73" s="287">
        <f>AD74+AD75</f>
        <v>0</v>
      </c>
      <c r="AE73" s="292" t="e">
        <f t="shared" si="38"/>
        <v>#DIV/0!</v>
      </c>
      <c r="AF73" s="287">
        <f>AF74+AF75</f>
        <v>0</v>
      </c>
      <c r="AG73" s="288">
        <f>AG74+AG75</f>
        <v>0</v>
      </c>
      <c r="AH73" s="293" t="e">
        <f t="shared" si="8"/>
        <v>#DIV/0!</v>
      </c>
      <c r="AI73" s="287">
        <f>AI74+AI75</f>
        <v>0</v>
      </c>
      <c r="AJ73" s="288">
        <f>AJ74+AJ75</f>
        <v>0</v>
      </c>
      <c r="AK73" s="294" t="e">
        <f t="shared" si="9"/>
        <v>#DIV/0!</v>
      </c>
      <c r="AL73" s="287">
        <f>AL74+AL75</f>
        <v>0</v>
      </c>
      <c r="AM73" s="287">
        <f>AM74+AM75</f>
        <v>0</v>
      </c>
      <c r="AN73" s="295" t="e">
        <f t="shared" si="10"/>
        <v>#DIV/0!</v>
      </c>
      <c r="AO73" s="287">
        <f>AO74+AO75</f>
        <v>0</v>
      </c>
      <c r="AP73" s="287">
        <f>AP74+AP75</f>
        <v>0</v>
      </c>
      <c r="AQ73" s="292" t="e">
        <f>AP73/AO73</f>
        <v>#DIV/0!</v>
      </c>
      <c r="AR73" s="287"/>
      <c r="AS73" s="287"/>
      <c r="AT73" s="295" t="e">
        <f t="shared" si="13"/>
        <v>#DIV/0!</v>
      </c>
      <c r="AU73" s="287"/>
      <c r="AV73" s="287"/>
      <c r="AW73" s="295" t="e">
        <f t="shared" si="14"/>
        <v>#DIV/0!</v>
      </c>
      <c r="AX73" s="287">
        <f>AX74+AX75</f>
        <v>0</v>
      </c>
      <c r="AY73" s="288">
        <f>AY74+AY75</f>
        <v>0</v>
      </c>
      <c r="AZ73" s="294" t="e">
        <f t="shared" si="15"/>
        <v>#DIV/0!</v>
      </c>
      <c r="BA73" s="287">
        <f>BA74+BA75</f>
        <v>0</v>
      </c>
      <c r="BB73" s="287">
        <f>BB74+BB75</f>
        <v>0</v>
      </c>
      <c r="BC73" s="292" t="e">
        <f>BB73/BA73</f>
        <v>#DIV/0!</v>
      </c>
      <c r="BD73" s="288">
        <f>BD74+BD75</f>
        <v>0</v>
      </c>
      <c r="BE73" s="296">
        <f t="shared" si="17"/>
        <v>0</v>
      </c>
      <c r="BF73" s="297">
        <f t="shared" si="21"/>
        <v>400000</v>
      </c>
    </row>
    <row r="74" spans="1:58" ht="13.5" thickBot="1">
      <c r="A74" s="286">
        <v>2</v>
      </c>
      <c r="B74" s="231">
        <v>2</v>
      </c>
      <c r="C74" s="231">
        <v>5</v>
      </c>
      <c r="D74" s="231">
        <v>1</v>
      </c>
      <c r="E74" s="401"/>
      <c r="F74" s="156" t="s">
        <v>33</v>
      </c>
      <c r="G74" s="287">
        <v>340000</v>
      </c>
      <c r="H74" s="287"/>
      <c r="I74" s="288"/>
      <c r="J74" s="289" t="e">
        <f t="shared" si="0"/>
        <v>#DIV/0!</v>
      </c>
      <c r="K74" s="290"/>
      <c r="L74" s="287"/>
      <c r="M74" s="291" t="e">
        <f t="shared" si="2"/>
        <v>#DIV/0!</v>
      </c>
      <c r="N74" s="287"/>
      <c r="O74" s="287"/>
      <c r="P74" s="291" t="e">
        <f t="shared" si="3"/>
        <v>#DIV/0!</v>
      </c>
      <c r="Q74" s="280">
        <f>N74+K74+H74</f>
        <v>0</v>
      </c>
      <c r="R74" s="280">
        <f>O74+L74+I74</f>
        <v>0</v>
      </c>
      <c r="S74" s="292" t="e">
        <f t="shared" si="20"/>
        <v>#DIV/0!</v>
      </c>
      <c r="T74" s="287"/>
      <c r="U74" s="288"/>
      <c r="V74" s="291" t="e">
        <f t="shared" si="4"/>
        <v>#DIV/0!</v>
      </c>
      <c r="W74" s="287"/>
      <c r="X74" s="288"/>
      <c r="Y74" s="291" t="e">
        <f t="shared" si="5"/>
        <v>#DIV/0!</v>
      </c>
      <c r="Z74" s="287"/>
      <c r="AA74" s="288"/>
      <c r="AB74" s="291" t="e">
        <f t="shared" si="6"/>
        <v>#DIV/0!</v>
      </c>
      <c r="AC74" s="280">
        <f>Z74+W74+T74</f>
        <v>0</v>
      </c>
      <c r="AD74" s="280">
        <f>AA74+X74+U74</f>
        <v>0</v>
      </c>
      <c r="AE74" s="292" t="e">
        <f t="shared" si="38"/>
        <v>#DIV/0!</v>
      </c>
      <c r="AF74" s="287"/>
      <c r="AG74" s="288"/>
      <c r="AH74" s="293" t="e">
        <f t="shared" si="8"/>
        <v>#DIV/0!</v>
      </c>
      <c r="AI74" s="287"/>
      <c r="AJ74" s="288"/>
      <c r="AK74" s="294" t="e">
        <f t="shared" si="9"/>
        <v>#DIV/0!</v>
      </c>
      <c r="AL74" s="155"/>
      <c r="AM74" s="155"/>
      <c r="AN74" s="295" t="e">
        <f t="shared" si="10"/>
        <v>#DIV/0!</v>
      </c>
      <c r="AO74" s="300">
        <f>AL74+AI74+AF74</f>
        <v>0</v>
      </c>
      <c r="AP74" s="300">
        <f>AM74+AJ74+AG74</f>
        <v>0</v>
      </c>
      <c r="AQ74" s="292" t="e">
        <f>AP74/AO74</f>
        <v>#DIV/0!</v>
      </c>
      <c r="AR74" s="287"/>
      <c r="AS74" s="287"/>
      <c r="AT74" s="295" t="e">
        <f t="shared" si="13"/>
        <v>#DIV/0!</v>
      </c>
      <c r="AU74" s="287"/>
      <c r="AV74" s="287"/>
      <c r="AW74" s="295" t="e">
        <f t="shared" si="14"/>
        <v>#DIV/0!</v>
      </c>
      <c r="AX74" s="287"/>
      <c r="AY74" s="288"/>
      <c r="AZ74" s="294" t="e">
        <f t="shared" si="15"/>
        <v>#DIV/0!</v>
      </c>
      <c r="BA74" s="280">
        <f>AX74+AU74+AR74</f>
        <v>0</v>
      </c>
      <c r="BB74" s="280">
        <f>AY74+AV74+AS74</f>
        <v>0</v>
      </c>
      <c r="BC74" s="292" t="e">
        <f>BB74/BA74</f>
        <v>#DIV/0!</v>
      </c>
      <c r="BD74" s="304">
        <f>I74+L74+O74+U74+X74+AA74+AG74+AJ74+AM74+AS74+AV74+AY74</f>
        <v>0</v>
      </c>
      <c r="BE74" s="296">
        <f t="shared" si="17"/>
        <v>0</v>
      </c>
      <c r="BF74" s="297">
        <f t="shared" si="21"/>
        <v>340000</v>
      </c>
    </row>
    <row r="75" spans="1:58" ht="22.5" thickBot="1">
      <c r="A75" s="286">
        <v>2</v>
      </c>
      <c r="B75" s="231">
        <v>2</v>
      </c>
      <c r="C75" s="231">
        <v>5</v>
      </c>
      <c r="D75" s="231">
        <v>4</v>
      </c>
      <c r="E75" s="401"/>
      <c r="F75" s="156" t="s">
        <v>86</v>
      </c>
      <c r="G75" s="287">
        <v>60000</v>
      </c>
      <c r="H75" s="287"/>
      <c r="I75" s="288"/>
      <c r="J75" s="289" t="e">
        <f t="shared" si="0"/>
        <v>#DIV/0!</v>
      </c>
      <c r="K75" s="290"/>
      <c r="L75" s="287"/>
      <c r="M75" s="291" t="e">
        <f t="shared" si="2"/>
        <v>#DIV/0!</v>
      </c>
      <c r="N75" s="287"/>
      <c r="O75" s="287"/>
      <c r="P75" s="291" t="e">
        <f t="shared" si="3"/>
        <v>#DIV/0!</v>
      </c>
      <c r="Q75" s="280">
        <f>N75+K75+H75</f>
        <v>0</v>
      </c>
      <c r="R75" s="280">
        <f>O75+L75+I75</f>
        <v>0</v>
      </c>
      <c r="S75" s="292" t="e">
        <f t="shared" si="20"/>
        <v>#DIV/0!</v>
      </c>
      <c r="T75" s="287"/>
      <c r="U75" s="288"/>
      <c r="V75" s="291" t="e">
        <f t="shared" si="4"/>
        <v>#DIV/0!</v>
      </c>
      <c r="W75" s="287"/>
      <c r="X75" s="288"/>
      <c r="Y75" s="291" t="e">
        <f t="shared" si="5"/>
        <v>#DIV/0!</v>
      </c>
      <c r="Z75" s="287"/>
      <c r="AA75" s="288"/>
      <c r="AB75" s="291" t="e">
        <f t="shared" si="6"/>
        <v>#DIV/0!</v>
      </c>
      <c r="AC75" s="280">
        <f>Z75+W75+T75</f>
        <v>0</v>
      </c>
      <c r="AD75" s="280">
        <f>AA75+X75+U75</f>
        <v>0</v>
      </c>
      <c r="AE75" s="292" t="e">
        <f t="shared" si="38"/>
        <v>#DIV/0!</v>
      </c>
      <c r="AF75" s="287"/>
      <c r="AG75" s="288"/>
      <c r="AH75" s="293" t="e">
        <f t="shared" si="8"/>
        <v>#DIV/0!</v>
      </c>
      <c r="AI75" s="287"/>
      <c r="AJ75" s="288"/>
      <c r="AK75" s="294" t="e">
        <f t="shared" si="9"/>
        <v>#DIV/0!</v>
      </c>
      <c r="AL75" s="155"/>
      <c r="AM75" s="155"/>
      <c r="AN75" s="295" t="e">
        <f t="shared" si="10"/>
        <v>#DIV/0!</v>
      </c>
      <c r="AO75" s="300">
        <f>AL75+AI75+AF75</f>
        <v>0</v>
      </c>
      <c r="AP75" s="300">
        <f>AM75+AJ75+AG75</f>
        <v>0</v>
      </c>
      <c r="AQ75" s="292" t="e">
        <f>AP75/AO75</f>
        <v>#DIV/0!</v>
      </c>
      <c r="AR75" s="287"/>
      <c r="AS75" s="287"/>
      <c r="AT75" s="295" t="e">
        <f t="shared" si="13"/>
        <v>#DIV/0!</v>
      </c>
      <c r="AU75" s="287"/>
      <c r="AV75" s="287"/>
      <c r="AW75" s="295" t="e">
        <f t="shared" si="14"/>
        <v>#DIV/0!</v>
      </c>
      <c r="AX75" s="287"/>
      <c r="AY75" s="288"/>
      <c r="AZ75" s="294" t="e">
        <f t="shared" si="15"/>
        <v>#DIV/0!</v>
      </c>
      <c r="BA75" s="280">
        <f>AX75+AU75+AR75</f>
        <v>0</v>
      </c>
      <c r="BB75" s="280">
        <f>AY75+AV75+AS75</f>
        <v>0</v>
      </c>
      <c r="BC75" s="292" t="e">
        <f>BB75/BA75</f>
        <v>#DIV/0!</v>
      </c>
      <c r="BD75" s="304">
        <f>I75+L75+O75+U75+X75+AA75+AG75+AJ75+AM75+AS75+AV75+AY75</f>
        <v>0</v>
      </c>
      <c r="BE75" s="296">
        <f t="shared" si="17"/>
        <v>0</v>
      </c>
      <c r="BF75" s="297">
        <f t="shared" si="21"/>
        <v>60000</v>
      </c>
    </row>
    <row r="76" spans="1:58" ht="13.5" thickBot="1">
      <c r="A76" s="286"/>
      <c r="B76" s="231"/>
      <c r="C76" s="231"/>
      <c r="D76" s="231"/>
      <c r="E76" s="403"/>
      <c r="F76" s="156"/>
      <c r="G76" s="287"/>
      <c r="H76" s="287"/>
      <c r="I76" s="304"/>
      <c r="J76" s="289"/>
      <c r="K76" s="302"/>
      <c r="L76" s="300"/>
      <c r="M76" s="291"/>
      <c r="N76" s="300"/>
      <c r="O76" s="300"/>
      <c r="P76" s="291"/>
      <c r="Q76" s="280"/>
      <c r="R76" s="280"/>
      <c r="S76" s="292"/>
      <c r="T76" s="287"/>
      <c r="U76" s="304"/>
      <c r="V76" s="291"/>
      <c r="W76" s="287"/>
      <c r="X76" s="304"/>
      <c r="Y76" s="291"/>
      <c r="Z76" s="287"/>
      <c r="AA76" s="304"/>
      <c r="AB76" s="291"/>
      <c r="AC76" s="280"/>
      <c r="AD76" s="280"/>
      <c r="AE76" s="292"/>
      <c r="AF76" s="287"/>
      <c r="AG76" s="304"/>
      <c r="AH76" s="293"/>
      <c r="AI76" s="287"/>
      <c r="AJ76" s="304"/>
      <c r="AK76" s="294"/>
      <c r="AL76" s="90"/>
      <c r="AM76" s="90"/>
      <c r="AN76" s="295"/>
      <c r="AO76" s="300"/>
      <c r="AP76" s="300"/>
      <c r="AQ76" s="292"/>
      <c r="AR76" s="300"/>
      <c r="AS76" s="300"/>
      <c r="AT76" s="295"/>
      <c r="AU76" s="300"/>
      <c r="AV76" s="300"/>
      <c r="AW76" s="295"/>
      <c r="AX76" s="300"/>
      <c r="AY76" s="304"/>
      <c r="AZ76" s="294"/>
      <c r="BA76" s="280"/>
      <c r="BB76" s="280"/>
      <c r="BC76" s="292"/>
      <c r="BD76" s="288"/>
      <c r="BE76" s="296"/>
      <c r="BF76" s="308"/>
    </row>
    <row r="77" spans="1:58" ht="13.5" thickBot="1">
      <c r="A77" s="286">
        <v>2</v>
      </c>
      <c r="B77" s="231">
        <v>2</v>
      </c>
      <c r="C77" s="231">
        <v>6</v>
      </c>
      <c r="D77" s="299"/>
      <c r="E77" s="403"/>
      <c r="F77" s="156" t="s">
        <v>34</v>
      </c>
      <c r="G77" s="287">
        <f>SUM(G78:G81)</f>
        <v>1609000</v>
      </c>
      <c r="H77" s="287">
        <f>SUM(H78:H81)</f>
        <v>0</v>
      </c>
      <c r="I77" s="287">
        <f>SUM(I78:I81)</f>
        <v>160175</v>
      </c>
      <c r="J77" s="289" t="e">
        <f t="shared" si="0"/>
        <v>#DIV/0!</v>
      </c>
      <c r="K77" s="290">
        <f>SUM(K78:K81)</f>
        <v>0</v>
      </c>
      <c r="L77" s="287">
        <f>SUM(L78:L81)</f>
        <v>160175</v>
      </c>
      <c r="M77" s="291" t="e">
        <f t="shared" si="2"/>
        <v>#DIV/0!</v>
      </c>
      <c r="N77" s="287">
        <f>SUM(N78:N81)</f>
        <v>0</v>
      </c>
      <c r="O77" s="287">
        <f>SUM(O78:O81)</f>
        <v>0</v>
      </c>
      <c r="P77" s="291" t="e">
        <f t="shared" si="3"/>
        <v>#DIV/0!</v>
      </c>
      <c r="Q77" s="287">
        <f>SUM(Q78:Q81)</f>
        <v>0</v>
      </c>
      <c r="R77" s="287">
        <f>SUM(R78:R81)</f>
        <v>320350</v>
      </c>
      <c r="S77" s="292" t="e">
        <f t="shared" si="20"/>
        <v>#DIV/0!</v>
      </c>
      <c r="T77" s="287">
        <f>SUM(T78:T81)</f>
        <v>0</v>
      </c>
      <c r="U77" s="287">
        <f>SUM(U78:U81)</f>
        <v>0</v>
      </c>
      <c r="V77" s="291" t="e">
        <f t="shared" si="4"/>
        <v>#DIV/0!</v>
      </c>
      <c r="W77" s="287">
        <f>SUM(W78:W81)</f>
        <v>0</v>
      </c>
      <c r="X77" s="287">
        <f>SUM(X78:X81)</f>
        <v>0</v>
      </c>
      <c r="Y77" s="291" t="e">
        <f t="shared" si="5"/>
        <v>#DIV/0!</v>
      </c>
      <c r="Z77" s="287">
        <f>SUM(Z78:Z81)</f>
        <v>0</v>
      </c>
      <c r="AA77" s="287">
        <f>SUM(AA78:AA81)</f>
        <v>0</v>
      </c>
      <c r="AB77" s="291" t="e">
        <f t="shared" si="6"/>
        <v>#DIV/0!</v>
      </c>
      <c r="AC77" s="287">
        <f>SUM(AC78:AC81)</f>
        <v>0</v>
      </c>
      <c r="AD77" s="287">
        <f>SUM(AD78:AD81)</f>
        <v>0</v>
      </c>
      <c r="AE77" s="292" t="e">
        <f t="shared" si="38"/>
        <v>#DIV/0!</v>
      </c>
      <c r="AF77" s="287">
        <f>SUM(AF78:AF81)</f>
        <v>0</v>
      </c>
      <c r="AG77" s="287">
        <f>SUM(AG78:AG81)</f>
        <v>0</v>
      </c>
      <c r="AH77" s="293" t="e">
        <f t="shared" si="8"/>
        <v>#DIV/0!</v>
      </c>
      <c r="AI77" s="287">
        <f>SUM(AI78:AI81)</f>
        <v>0</v>
      </c>
      <c r="AJ77" s="287">
        <f>SUM(AJ78:AJ81)</f>
        <v>0</v>
      </c>
      <c r="AK77" s="294" t="e">
        <f t="shared" si="9"/>
        <v>#DIV/0!</v>
      </c>
      <c r="AL77" s="287">
        <f>SUM(AL78:AL81)</f>
        <v>0</v>
      </c>
      <c r="AM77" s="287">
        <f>SUM(AM78:AM81)</f>
        <v>0</v>
      </c>
      <c r="AN77" s="295" t="e">
        <f t="shared" si="10"/>
        <v>#DIV/0!</v>
      </c>
      <c r="AO77" s="287">
        <f>SUM(AO78:AO81)</f>
        <v>0</v>
      </c>
      <c r="AP77" s="287">
        <f>SUM(AP78:AP81)</f>
        <v>0</v>
      </c>
      <c r="AQ77" s="292" t="e">
        <f aca="true" t="shared" si="49" ref="AQ77:AQ139">AP77/AO77</f>
        <v>#DIV/0!</v>
      </c>
      <c r="AR77" s="287"/>
      <c r="AS77" s="287"/>
      <c r="AT77" s="295" t="e">
        <f t="shared" si="13"/>
        <v>#DIV/0!</v>
      </c>
      <c r="AU77" s="287"/>
      <c r="AV77" s="287"/>
      <c r="AW77" s="295" t="e">
        <f t="shared" si="14"/>
        <v>#DIV/0!</v>
      </c>
      <c r="AX77" s="287">
        <f>SUM(AX78:AX81)</f>
        <v>0</v>
      </c>
      <c r="AY77" s="288">
        <f>SUM(AY78:AY81)</f>
        <v>0</v>
      </c>
      <c r="AZ77" s="294" t="e">
        <f t="shared" si="15"/>
        <v>#DIV/0!</v>
      </c>
      <c r="BA77" s="287">
        <f>SUM(BA78:BA81)</f>
        <v>0</v>
      </c>
      <c r="BB77" s="287">
        <f>SUM(BB78:BB81)</f>
        <v>0</v>
      </c>
      <c r="BC77" s="292" t="e">
        <f aca="true" t="shared" si="50" ref="BC77:BC139">BB77/BA77</f>
        <v>#DIV/0!</v>
      </c>
      <c r="BD77" s="288">
        <f>SUM(BD78:BD81)</f>
        <v>320350</v>
      </c>
      <c r="BE77" s="296">
        <f t="shared" si="17"/>
        <v>0.1990988191423244</v>
      </c>
      <c r="BF77" s="297">
        <f t="shared" si="21"/>
        <v>1288650</v>
      </c>
    </row>
    <row r="78" spans="1:58" ht="13.5" thickBot="1">
      <c r="A78" s="286">
        <v>2</v>
      </c>
      <c r="B78" s="231">
        <v>2</v>
      </c>
      <c r="C78" s="231">
        <v>6</v>
      </c>
      <c r="D78" s="231">
        <v>1</v>
      </c>
      <c r="E78" s="401"/>
      <c r="F78" s="156" t="s">
        <v>87</v>
      </c>
      <c r="G78" s="287">
        <v>120000</v>
      </c>
      <c r="H78" s="287"/>
      <c r="I78" s="288"/>
      <c r="J78" s="289" t="e">
        <f t="shared" si="0"/>
        <v>#DIV/0!</v>
      </c>
      <c r="K78" s="290"/>
      <c r="L78" s="287"/>
      <c r="M78" s="291" t="e">
        <f t="shared" si="2"/>
        <v>#DIV/0!</v>
      </c>
      <c r="N78" s="287"/>
      <c r="O78" s="287"/>
      <c r="P78" s="291" t="e">
        <f t="shared" si="3"/>
        <v>#DIV/0!</v>
      </c>
      <c r="Q78" s="280">
        <f aca="true" t="shared" si="51" ref="Q78:R81">N78+K78+H78</f>
        <v>0</v>
      </c>
      <c r="R78" s="280">
        <f t="shared" si="51"/>
        <v>0</v>
      </c>
      <c r="S78" s="292" t="e">
        <f t="shared" si="20"/>
        <v>#DIV/0!</v>
      </c>
      <c r="T78" s="287"/>
      <c r="U78" s="288"/>
      <c r="V78" s="291" t="e">
        <f t="shared" si="4"/>
        <v>#DIV/0!</v>
      </c>
      <c r="W78" s="287"/>
      <c r="X78" s="288"/>
      <c r="Y78" s="291" t="e">
        <f t="shared" si="5"/>
        <v>#DIV/0!</v>
      </c>
      <c r="Z78" s="287"/>
      <c r="AA78" s="288"/>
      <c r="AB78" s="291" t="e">
        <f t="shared" si="6"/>
        <v>#DIV/0!</v>
      </c>
      <c r="AC78" s="280">
        <f aca="true" t="shared" si="52" ref="AC78:AD81">Z78+W78+T78</f>
        <v>0</v>
      </c>
      <c r="AD78" s="280">
        <f t="shared" si="52"/>
        <v>0</v>
      </c>
      <c r="AE78" s="292" t="e">
        <f t="shared" si="38"/>
        <v>#DIV/0!</v>
      </c>
      <c r="AF78" s="287"/>
      <c r="AG78" s="288"/>
      <c r="AH78" s="293" t="e">
        <f t="shared" si="8"/>
        <v>#DIV/0!</v>
      </c>
      <c r="AI78" s="287"/>
      <c r="AJ78" s="288"/>
      <c r="AK78" s="294" t="e">
        <f t="shared" si="9"/>
        <v>#DIV/0!</v>
      </c>
      <c r="AL78" s="155"/>
      <c r="AM78" s="155"/>
      <c r="AN78" s="295" t="e">
        <f t="shared" si="10"/>
        <v>#DIV/0!</v>
      </c>
      <c r="AO78" s="300">
        <f aca="true" t="shared" si="53" ref="AO78:AP81">AL78+AI78+AF78</f>
        <v>0</v>
      </c>
      <c r="AP78" s="300">
        <f t="shared" si="53"/>
        <v>0</v>
      </c>
      <c r="AQ78" s="292" t="e">
        <f t="shared" si="49"/>
        <v>#DIV/0!</v>
      </c>
      <c r="AR78" s="287"/>
      <c r="AS78" s="287"/>
      <c r="AT78" s="295" t="e">
        <f t="shared" si="13"/>
        <v>#DIV/0!</v>
      </c>
      <c r="AU78" s="287"/>
      <c r="AV78" s="287"/>
      <c r="AW78" s="295" t="e">
        <f t="shared" si="14"/>
        <v>#DIV/0!</v>
      </c>
      <c r="AX78" s="287"/>
      <c r="AY78" s="288"/>
      <c r="AZ78" s="294" t="e">
        <f t="shared" si="15"/>
        <v>#DIV/0!</v>
      </c>
      <c r="BA78" s="280">
        <f aca="true" t="shared" si="54" ref="BA78:BB81">AX78+AU78+AR78</f>
        <v>0</v>
      </c>
      <c r="BB78" s="280">
        <f t="shared" si="54"/>
        <v>0</v>
      </c>
      <c r="BC78" s="292" t="e">
        <f t="shared" si="50"/>
        <v>#DIV/0!</v>
      </c>
      <c r="BD78" s="304">
        <f>I78+L78+O78+U78+X78+AA78+AG78+AJ78+AM78+AS78+AV78+AY78</f>
        <v>0</v>
      </c>
      <c r="BE78" s="296">
        <f t="shared" si="17"/>
        <v>0</v>
      </c>
      <c r="BF78" s="297">
        <f t="shared" si="21"/>
        <v>120000</v>
      </c>
    </row>
    <row r="79" spans="1:58" ht="13.5" thickBot="1">
      <c r="A79" s="286">
        <v>2</v>
      </c>
      <c r="B79" s="231">
        <v>2</v>
      </c>
      <c r="C79" s="231">
        <v>6</v>
      </c>
      <c r="D79" s="231">
        <v>2</v>
      </c>
      <c r="E79" s="401"/>
      <c r="F79" s="156" t="s">
        <v>35</v>
      </c>
      <c r="G79" s="287">
        <v>120000</v>
      </c>
      <c r="H79" s="287"/>
      <c r="I79" s="288"/>
      <c r="J79" s="289" t="e">
        <f t="shared" si="0"/>
        <v>#DIV/0!</v>
      </c>
      <c r="K79" s="290"/>
      <c r="L79" s="287"/>
      <c r="M79" s="291" t="e">
        <f t="shared" si="2"/>
        <v>#DIV/0!</v>
      </c>
      <c r="N79" s="287"/>
      <c r="O79" s="287"/>
      <c r="P79" s="291" t="e">
        <f t="shared" si="3"/>
        <v>#DIV/0!</v>
      </c>
      <c r="Q79" s="280">
        <f t="shared" si="51"/>
        <v>0</v>
      </c>
      <c r="R79" s="280">
        <f t="shared" si="51"/>
        <v>0</v>
      </c>
      <c r="S79" s="292" t="e">
        <f t="shared" si="20"/>
        <v>#DIV/0!</v>
      </c>
      <c r="T79" s="287"/>
      <c r="U79" s="288"/>
      <c r="V79" s="291" t="e">
        <f t="shared" si="4"/>
        <v>#DIV/0!</v>
      </c>
      <c r="W79" s="287"/>
      <c r="X79" s="288"/>
      <c r="Y79" s="291" t="e">
        <f t="shared" si="5"/>
        <v>#DIV/0!</v>
      </c>
      <c r="Z79" s="287"/>
      <c r="AA79" s="288"/>
      <c r="AB79" s="291" t="e">
        <f t="shared" si="6"/>
        <v>#DIV/0!</v>
      </c>
      <c r="AC79" s="280">
        <f t="shared" si="52"/>
        <v>0</v>
      </c>
      <c r="AD79" s="280">
        <f t="shared" si="52"/>
        <v>0</v>
      </c>
      <c r="AE79" s="292" t="e">
        <f t="shared" si="38"/>
        <v>#DIV/0!</v>
      </c>
      <c r="AF79" s="287"/>
      <c r="AG79" s="288"/>
      <c r="AH79" s="293" t="e">
        <f t="shared" si="8"/>
        <v>#DIV/0!</v>
      </c>
      <c r="AI79" s="287"/>
      <c r="AJ79" s="288"/>
      <c r="AK79" s="294" t="e">
        <f t="shared" si="9"/>
        <v>#DIV/0!</v>
      </c>
      <c r="AL79" s="155"/>
      <c r="AM79" s="155"/>
      <c r="AN79" s="295" t="e">
        <f t="shared" si="10"/>
        <v>#DIV/0!</v>
      </c>
      <c r="AO79" s="300">
        <f t="shared" si="53"/>
        <v>0</v>
      </c>
      <c r="AP79" s="300">
        <f t="shared" si="53"/>
        <v>0</v>
      </c>
      <c r="AQ79" s="292" t="e">
        <f t="shared" si="49"/>
        <v>#DIV/0!</v>
      </c>
      <c r="AR79" s="287"/>
      <c r="AS79" s="287"/>
      <c r="AT79" s="295" t="e">
        <f t="shared" si="13"/>
        <v>#DIV/0!</v>
      </c>
      <c r="AU79" s="287"/>
      <c r="AV79" s="287"/>
      <c r="AW79" s="295" t="e">
        <f t="shared" si="14"/>
        <v>#DIV/0!</v>
      </c>
      <c r="AX79" s="287"/>
      <c r="AY79" s="288"/>
      <c r="AZ79" s="294" t="e">
        <f t="shared" si="15"/>
        <v>#DIV/0!</v>
      </c>
      <c r="BA79" s="280">
        <f t="shared" si="54"/>
        <v>0</v>
      </c>
      <c r="BB79" s="280">
        <f t="shared" si="54"/>
        <v>0</v>
      </c>
      <c r="BC79" s="292" t="e">
        <f t="shared" si="50"/>
        <v>#DIV/0!</v>
      </c>
      <c r="BD79" s="304">
        <f>I79+L79+O79+U79+X79+AA79+AG79+AJ79+AM79+AS79+AV79+AY79</f>
        <v>0</v>
      </c>
      <c r="BE79" s="296">
        <f t="shared" si="17"/>
        <v>0</v>
      </c>
      <c r="BF79" s="297">
        <f t="shared" si="21"/>
        <v>120000</v>
      </c>
    </row>
    <row r="80" spans="1:58" ht="13.5" thickBot="1">
      <c r="A80" s="286">
        <v>2</v>
      </c>
      <c r="B80" s="231">
        <v>2</v>
      </c>
      <c r="C80" s="231">
        <v>6</v>
      </c>
      <c r="D80" s="231">
        <v>3</v>
      </c>
      <c r="E80" s="401"/>
      <c r="F80" s="156" t="s">
        <v>36</v>
      </c>
      <c r="G80" s="287">
        <v>1344000</v>
      </c>
      <c r="H80" s="287"/>
      <c r="I80" s="288">
        <v>160175</v>
      </c>
      <c r="J80" s="289" t="e">
        <f t="shared" si="0"/>
        <v>#DIV/0!</v>
      </c>
      <c r="K80" s="290"/>
      <c r="L80" s="287">
        <v>160175</v>
      </c>
      <c r="M80" s="291" t="e">
        <f t="shared" si="2"/>
        <v>#DIV/0!</v>
      </c>
      <c r="N80" s="287"/>
      <c r="O80" s="287"/>
      <c r="P80" s="291" t="e">
        <f t="shared" si="3"/>
        <v>#DIV/0!</v>
      </c>
      <c r="Q80" s="280">
        <f t="shared" si="51"/>
        <v>0</v>
      </c>
      <c r="R80" s="280">
        <f t="shared" si="51"/>
        <v>320350</v>
      </c>
      <c r="S80" s="292" t="e">
        <f t="shared" si="20"/>
        <v>#DIV/0!</v>
      </c>
      <c r="T80" s="287"/>
      <c r="U80" s="288"/>
      <c r="V80" s="291" t="e">
        <f t="shared" si="4"/>
        <v>#DIV/0!</v>
      </c>
      <c r="W80" s="287"/>
      <c r="X80" s="288"/>
      <c r="Y80" s="291" t="e">
        <f t="shared" si="5"/>
        <v>#DIV/0!</v>
      </c>
      <c r="Z80" s="287"/>
      <c r="AA80" s="288"/>
      <c r="AB80" s="291" t="e">
        <f t="shared" si="6"/>
        <v>#DIV/0!</v>
      </c>
      <c r="AC80" s="280">
        <f t="shared" si="52"/>
        <v>0</v>
      </c>
      <c r="AD80" s="280">
        <f t="shared" si="52"/>
        <v>0</v>
      </c>
      <c r="AE80" s="292" t="e">
        <f t="shared" si="38"/>
        <v>#DIV/0!</v>
      </c>
      <c r="AF80" s="287"/>
      <c r="AG80" s="288"/>
      <c r="AH80" s="293" t="e">
        <f t="shared" si="8"/>
        <v>#DIV/0!</v>
      </c>
      <c r="AI80" s="287"/>
      <c r="AJ80" s="288"/>
      <c r="AK80" s="294" t="e">
        <f t="shared" si="9"/>
        <v>#DIV/0!</v>
      </c>
      <c r="AL80" s="155"/>
      <c r="AM80" s="155"/>
      <c r="AN80" s="295" t="e">
        <f t="shared" si="10"/>
        <v>#DIV/0!</v>
      </c>
      <c r="AO80" s="300">
        <f t="shared" si="53"/>
        <v>0</v>
      </c>
      <c r="AP80" s="300">
        <f t="shared" si="53"/>
        <v>0</v>
      </c>
      <c r="AQ80" s="292" t="e">
        <f t="shared" si="49"/>
        <v>#DIV/0!</v>
      </c>
      <c r="AR80" s="287"/>
      <c r="AS80" s="287"/>
      <c r="AT80" s="295" t="e">
        <f t="shared" si="13"/>
        <v>#DIV/0!</v>
      </c>
      <c r="AU80" s="287"/>
      <c r="AV80" s="287"/>
      <c r="AW80" s="295" t="e">
        <f t="shared" si="14"/>
        <v>#DIV/0!</v>
      </c>
      <c r="AX80" s="287"/>
      <c r="AY80" s="288"/>
      <c r="AZ80" s="294" t="e">
        <f t="shared" si="15"/>
        <v>#DIV/0!</v>
      </c>
      <c r="BA80" s="280">
        <f t="shared" si="54"/>
        <v>0</v>
      </c>
      <c r="BB80" s="280">
        <f t="shared" si="54"/>
        <v>0</v>
      </c>
      <c r="BC80" s="292" t="e">
        <f t="shared" si="50"/>
        <v>#DIV/0!</v>
      </c>
      <c r="BD80" s="304">
        <f>I80+L80+O80+U80+X80+AA80+AG80+AJ80+AM80+AS80+AV80+AY80</f>
        <v>320350</v>
      </c>
      <c r="BE80" s="296">
        <f t="shared" si="17"/>
        <v>0.23835565476190476</v>
      </c>
      <c r="BF80" s="297">
        <f t="shared" si="21"/>
        <v>1023650</v>
      </c>
    </row>
    <row r="81" spans="1:58" ht="12.75">
      <c r="A81" s="286">
        <v>2</v>
      </c>
      <c r="B81" s="314">
        <v>2</v>
      </c>
      <c r="C81" s="314">
        <v>6</v>
      </c>
      <c r="D81" s="314">
        <v>9</v>
      </c>
      <c r="E81" s="408"/>
      <c r="F81" s="258" t="s">
        <v>88</v>
      </c>
      <c r="G81" s="315">
        <v>25000</v>
      </c>
      <c r="H81" s="315"/>
      <c r="I81" s="325"/>
      <c r="J81" s="317" t="e">
        <f t="shared" si="0"/>
        <v>#DIV/0!</v>
      </c>
      <c r="K81" s="347"/>
      <c r="L81" s="315"/>
      <c r="M81" s="320" t="e">
        <f t="shared" si="2"/>
        <v>#DIV/0!</v>
      </c>
      <c r="N81" s="315"/>
      <c r="O81" s="315"/>
      <c r="P81" s="320" t="e">
        <f t="shared" si="3"/>
        <v>#DIV/0!</v>
      </c>
      <c r="Q81" s="321">
        <f t="shared" si="51"/>
        <v>0</v>
      </c>
      <c r="R81" s="321">
        <f t="shared" si="51"/>
        <v>0</v>
      </c>
      <c r="S81" s="322" t="e">
        <f t="shared" si="20"/>
        <v>#DIV/0!</v>
      </c>
      <c r="T81" s="315"/>
      <c r="U81" s="325"/>
      <c r="V81" s="320" t="e">
        <f t="shared" si="4"/>
        <v>#DIV/0!</v>
      </c>
      <c r="W81" s="315"/>
      <c r="X81" s="325"/>
      <c r="Y81" s="320" t="e">
        <f t="shared" si="5"/>
        <v>#DIV/0!</v>
      </c>
      <c r="Z81" s="315"/>
      <c r="AA81" s="325"/>
      <c r="AB81" s="320" t="e">
        <f t="shared" si="6"/>
        <v>#DIV/0!</v>
      </c>
      <c r="AC81" s="321">
        <f t="shared" si="52"/>
        <v>0</v>
      </c>
      <c r="AD81" s="321">
        <f t="shared" si="52"/>
        <v>0</v>
      </c>
      <c r="AE81" s="322" t="e">
        <f t="shared" si="38"/>
        <v>#DIV/0!</v>
      </c>
      <c r="AF81" s="315"/>
      <c r="AG81" s="325"/>
      <c r="AH81" s="293" t="e">
        <f t="shared" si="8"/>
        <v>#DIV/0!</v>
      </c>
      <c r="AI81" s="315"/>
      <c r="AJ81" s="325"/>
      <c r="AK81" s="323" t="e">
        <f t="shared" si="9"/>
        <v>#DIV/0!</v>
      </c>
      <c r="AL81" s="154"/>
      <c r="AM81" s="154"/>
      <c r="AN81" s="324" t="e">
        <f t="shared" si="10"/>
        <v>#DIV/0!</v>
      </c>
      <c r="AO81" s="319">
        <f t="shared" si="53"/>
        <v>0</v>
      </c>
      <c r="AP81" s="319">
        <f t="shared" si="53"/>
        <v>0</v>
      </c>
      <c r="AQ81" s="322" t="e">
        <f t="shared" si="49"/>
        <v>#DIV/0!</v>
      </c>
      <c r="AR81" s="315"/>
      <c r="AS81" s="315"/>
      <c r="AT81" s="324" t="e">
        <f t="shared" si="13"/>
        <v>#DIV/0!</v>
      </c>
      <c r="AU81" s="315"/>
      <c r="AV81" s="315"/>
      <c r="AW81" s="324" t="e">
        <f t="shared" si="14"/>
        <v>#DIV/0!</v>
      </c>
      <c r="AX81" s="315"/>
      <c r="AY81" s="325"/>
      <c r="AZ81" s="323" t="e">
        <f t="shared" si="15"/>
        <v>#DIV/0!</v>
      </c>
      <c r="BA81" s="321">
        <f t="shared" si="54"/>
        <v>0</v>
      </c>
      <c r="BB81" s="321">
        <f t="shared" si="54"/>
        <v>0</v>
      </c>
      <c r="BC81" s="322" t="e">
        <f t="shared" si="50"/>
        <v>#DIV/0!</v>
      </c>
      <c r="BD81" s="316">
        <f>I81+L81+O81+U81+X81+AA81+AG81+AJ81+AM81+AS81+AV81+AY81</f>
        <v>0</v>
      </c>
      <c r="BE81" s="348">
        <f t="shared" si="17"/>
        <v>0</v>
      </c>
      <c r="BF81" s="349">
        <f t="shared" si="21"/>
        <v>25000</v>
      </c>
    </row>
    <row r="82" spans="1:58" ht="13.5" thickBot="1">
      <c r="A82" s="286"/>
      <c r="B82" s="336"/>
      <c r="C82" s="336"/>
      <c r="D82" s="336"/>
      <c r="E82" s="409"/>
      <c r="F82" s="222"/>
      <c r="G82" s="337"/>
      <c r="H82" s="337"/>
      <c r="I82" s="344"/>
      <c r="J82" s="339"/>
      <c r="K82" s="350"/>
      <c r="L82" s="343"/>
      <c r="M82" s="345"/>
      <c r="N82" s="343"/>
      <c r="O82" s="343"/>
      <c r="P82" s="345"/>
      <c r="Q82" s="341"/>
      <c r="R82" s="341"/>
      <c r="S82" s="342"/>
      <c r="T82" s="337"/>
      <c r="U82" s="344"/>
      <c r="V82" s="345"/>
      <c r="W82" s="337"/>
      <c r="X82" s="344"/>
      <c r="Y82" s="345"/>
      <c r="Z82" s="337"/>
      <c r="AA82" s="344"/>
      <c r="AB82" s="345"/>
      <c r="AC82" s="341"/>
      <c r="AD82" s="341"/>
      <c r="AE82" s="342"/>
      <c r="AF82" s="337"/>
      <c r="AG82" s="344"/>
      <c r="AH82" s="351"/>
      <c r="AI82" s="337"/>
      <c r="AJ82" s="344"/>
      <c r="AK82" s="338"/>
      <c r="AL82" s="173"/>
      <c r="AM82" s="173"/>
      <c r="AN82" s="337"/>
      <c r="AO82" s="343"/>
      <c r="AP82" s="343"/>
      <c r="AQ82" s="342"/>
      <c r="AR82" s="343"/>
      <c r="AS82" s="343"/>
      <c r="AT82" s="337"/>
      <c r="AU82" s="343"/>
      <c r="AV82" s="343"/>
      <c r="AW82" s="337"/>
      <c r="AX82" s="343"/>
      <c r="AY82" s="344"/>
      <c r="AZ82" s="338"/>
      <c r="BA82" s="341"/>
      <c r="BB82" s="341"/>
      <c r="BC82" s="342"/>
      <c r="BD82" s="338"/>
      <c r="BE82" s="345"/>
      <c r="BF82" s="352"/>
    </row>
    <row r="83" spans="1:58" ht="21.75" thickBot="1">
      <c r="A83" s="286">
        <v>2</v>
      </c>
      <c r="B83" s="273">
        <v>2</v>
      </c>
      <c r="C83" s="273">
        <v>7</v>
      </c>
      <c r="D83" s="329"/>
      <c r="E83" s="406"/>
      <c r="F83" s="259" t="s">
        <v>209</v>
      </c>
      <c r="G83" s="274">
        <f>G84+G88</f>
        <v>470000</v>
      </c>
      <c r="H83" s="274">
        <f>H84+H88</f>
        <v>0</v>
      </c>
      <c r="I83" s="283">
        <f>I84+I88</f>
        <v>6135.34</v>
      </c>
      <c r="J83" s="276" t="e">
        <f aca="true" t="shared" si="55" ref="J83:J146">I83/H83</f>
        <v>#DIV/0!</v>
      </c>
      <c r="K83" s="353">
        <f>K84+K88</f>
        <v>0</v>
      </c>
      <c r="L83" s="274">
        <f>L84+L88</f>
        <v>16803.8</v>
      </c>
      <c r="M83" s="279" t="e">
        <f aca="true" t="shared" si="56" ref="M83:M146">L83/K83</f>
        <v>#DIV/0!</v>
      </c>
      <c r="N83" s="274">
        <f>N84+N88</f>
        <v>0</v>
      </c>
      <c r="O83" s="274">
        <f>O84+O88</f>
        <v>68217.13</v>
      </c>
      <c r="P83" s="279" t="e">
        <f aca="true" t="shared" si="57" ref="P83:P146">O83/N83</f>
        <v>#DIV/0!</v>
      </c>
      <c r="Q83" s="274">
        <f>Q84+Q88</f>
        <v>0</v>
      </c>
      <c r="R83" s="274">
        <f>R84+R88</f>
        <v>91156.27</v>
      </c>
      <c r="S83" s="281" t="e">
        <f t="shared" si="20"/>
        <v>#DIV/0!</v>
      </c>
      <c r="T83" s="274">
        <f>T84+T88</f>
        <v>0</v>
      </c>
      <c r="U83" s="283">
        <f>U84+U88</f>
        <v>0</v>
      </c>
      <c r="V83" s="279" t="e">
        <f aca="true" t="shared" si="58" ref="V83:V146">U83/T83</f>
        <v>#DIV/0!</v>
      </c>
      <c r="W83" s="274">
        <f>W84+W88</f>
        <v>0</v>
      </c>
      <c r="X83" s="283">
        <f>X84+X88</f>
        <v>0</v>
      </c>
      <c r="Y83" s="279" t="e">
        <f aca="true" t="shared" si="59" ref="Y83:Y146">X83/W83</f>
        <v>#DIV/0!</v>
      </c>
      <c r="Z83" s="274">
        <f>Z84+Z88</f>
        <v>0</v>
      </c>
      <c r="AA83" s="283">
        <f>AA84+AA88</f>
        <v>0</v>
      </c>
      <c r="AB83" s="279" t="e">
        <f aca="true" t="shared" si="60" ref="AB83:AB146">AA83/Z83</f>
        <v>#DIV/0!</v>
      </c>
      <c r="AC83" s="274">
        <f>AC84+AC88</f>
        <v>0</v>
      </c>
      <c r="AD83" s="274">
        <f>AD84+AD88</f>
        <v>0</v>
      </c>
      <c r="AE83" s="281" t="e">
        <f t="shared" si="38"/>
        <v>#DIV/0!</v>
      </c>
      <c r="AF83" s="274">
        <f>AF84+AF88</f>
        <v>0</v>
      </c>
      <c r="AG83" s="283">
        <f>AG84+AG88</f>
        <v>0</v>
      </c>
      <c r="AH83" s="282" t="e">
        <f aca="true" t="shared" si="61" ref="AH83:AH146">AG83/AF83</f>
        <v>#DIV/0!</v>
      </c>
      <c r="AI83" s="274">
        <f>AI84+AI88</f>
        <v>0</v>
      </c>
      <c r="AJ83" s="283">
        <f>AJ84+AJ88</f>
        <v>0</v>
      </c>
      <c r="AK83" s="283" t="e">
        <f aca="true" t="shared" si="62" ref="AK83:AK146">AJ83/AI83</f>
        <v>#DIV/0!</v>
      </c>
      <c r="AL83" s="274">
        <f>AL84+AL88</f>
        <v>0</v>
      </c>
      <c r="AM83" s="274">
        <f>AM84+AM88</f>
        <v>0</v>
      </c>
      <c r="AN83" s="274" t="e">
        <f aca="true" t="shared" si="63" ref="AN83:AN146">AM83/AL83</f>
        <v>#DIV/0!</v>
      </c>
      <c r="AO83" s="274">
        <f>AO84+AO88</f>
        <v>0</v>
      </c>
      <c r="AP83" s="274">
        <f>AP84+AP88</f>
        <v>0</v>
      </c>
      <c r="AQ83" s="281" t="e">
        <f t="shared" si="49"/>
        <v>#DIV/0!</v>
      </c>
      <c r="AR83" s="274"/>
      <c r="AS83" s="274"/>
      <c r="AT83" s="274" t="e">
        <f aca="true" t="shared" si="64" ref="AT83:AT146">AS83/AR83</f>
        <v>#DIV/0!</v>
      </c>
      <c r="AU83" s="274"/>
      <c r="AV83" s="274"/>
      <c r="AW83" s="274" t="e">
        <f aca="true" t="shared" si="65" ref="AW83:AW146">AV83/AU83</f>
        <v>#DIV/0!</v>
      </c>
      <c r="AX83" s="274">
        <f>AX84+AX88</f>
        <v>0</v>
      </c>
      <c r="AY83" s="283">
        <f>AY84+AY88</f>
        <v>0</v>
      </c>
      <c r="AZ83" s="283" t="e">
        <f aca="true" t="shared" si="66" ref="AZ83:AZ146">AY83/AX83</f>
        <v>#DIV/0!</v>
      </c>
      <c r="BA83" s="274">
        <f>BA84+BA88</f>
        <v>0</v>
      </c>
      <c r="BB83" s="274">
        <f>BB84+BB88</f>
        <v>0</v>
      </c>
      <c r="BC83" s="281" t="e">
        <f t="shared" si="50"/>
        <v>#DIV/0!</v>
      </c>
      <c r="BD83" s="283">
        <f>BD84+BD88</f>
        <v>91156.27</v>
      </c>
      <c r="BE83" s="279">
        <f aca="true" t="shared" si="67" ref="BE83:BE146">BD83/G83</f>
        <v>0.19394951063829788</v>
      </c>
      <c r="BF83" s="354">
        <f t="shared" si="21"/>
        <v>378843.73</v>
      </c>
    </row>
    <row r="84" spans="1:58" ht="13.5" thickBot="1">
      <c r="A84" s="286">
        <v>2</v>
      </c>
      <c r="B84" s="231">
        <v>2</v>
      </c>
      <c r="C84" s="231">
        <v>7</v>
      </c>
      <c r="D84" s="231">
        <v>1</v>
      </c>
      <c r="E84" s="401"/>
      <c r="F84" s="155" t="s">
        <v>61</v>
      </c>
      <c r="G84" s="287">
        <f>G85+G86+G87</f>
        <v>210000</v>
      </c>
      <c r="H84" s="287">
        <f>H85+H86+H87</f>
        <v>0</v>
      </c>
      <c r="I84" s="288">
        <f>I85+I86+I87</f>
        <v>0</v>
      </c>
      <c r="J84" s="289" t="e">
        <f t="shared" si="55"/>
        <v>#DIV/0!</v>
      </c>
      <c r="K84" s="290">
        <f>K85+K86+K87</f>
        <v>0</v>
      </c>
      <c r="L84" s="287">
        <f>L85+L86+L87</f>
        <v>0</v>
      </c>
      <c r="M84" s="291" t="e">
        <f t="shared" si="56"/>
        <v>#DIV/0!</v>
      </c>
      <c r="N84" s="287">
        <f>N85+N86+N87</f>
        <v>0</v>
      </c>
      <c r="O84" s="287">
        <f>O85+O86+O87</f>
        <v>0</v>
      </c>
      <c r="P84" s="291" t="e">
        <f t="shared" si="57"/>
        <v>#DIV/0!</v>
      </c>
      <c r="Q84" s="287">
        <f>Q85+Q86+Q87</f>
        <v>0</v>
      </c>
      <c r="R84" s="287">
        <f>R85+R86+R87</f>
        <v>0</v>
      </c>
      <c r="S84" s="292" t="e">
        <f t="shared" si="20"/>
        <v>#DIV/0!</v>
      </c>
      <c r="T84" s="287">
        <f>T85+T86+T87</f>
        <v>0</v>
      </c>
      <c r="U84" s="288">
        <f>U85+U86+U87</f>
        <v>0</v>
      </c>
      <c r="V84" s="291" t="e">
        <f t="shared" si="58"/>
        <v>#DIV/0!</v>
      </c>
      <c r="W84" s="287">
        <f>W85+W86+W87</f>
        <v>0</v>
      </c>
      <c r="X84" s="288">
        <f>X85+X86+X87</f>
        <v>0</v>
      </c>
      <c r="Y84" s="291" t="e">
        <f t="shared" si="59"/>
        <v>#DIV/0!</v>
      </c>
      <c r="Z84" s="287">
        <f>Z85+Z86+Z87</f>
        <v>0</v>
      </c>
      <c r="AA84" s="288">
        <f>AA85+AA86+AA87</f>
        <v>0</v>
      </c>
      <c r="AB84" s="291" t="e">
        <f t="shared" si="60"/>
        <v>#DIV/0!</v>
      </c>
      <c r="AC84" s="287">
        <f>AC85+AC86+AC87</f>
        <v>0</v>
      </c>
      <c r="AD84" s="287">
        <f>AD85+AD86+AD87</f>
        <v>0</v>
      </c>
      <c r="AE84" s="292" t="e">
        <f t="shared" si="38"/>
        <v>#DIV/0!</v>
      </c>
      <c r="AF84" s="287">
        <f>AF85+AF86+AF87</f>
        <v>0</v>
      </c>
      <c r="AG84" s="288">
        <f>AG85+AG86+AG87</f>
        <v>0</v>
      </c>
      <c r="AH84" s="293" t="e">
        <f t="shared" si="61"/>
        <v>#DIV/0!</v>
      </c>
      <c r="AI84" s="287">
        <f>AI85+AI86+AI87</f>
        <v>0</v>
      </c>
      <c r="AJ84" s="288">
        <f>AJ85+AJ86+AJ87</f>
        <v>0</v>
      </c>
      <c r="AK84" s="294" t="e">
        <f t="shared" si="62"/>
        <v>#DIV/0!</v>
      </c>
      <c r="AL84" s="287">
        <f>AL85+AL86+AL87</f>
        <v>0</v>
      </c>
      <c r="AM84" s="287">
        <f>AM85+AM86+AM87</f>
        <v>0</v>
      </c>
      <c r="AN84" s="295" t="e">
        <f t="shared" si="63"/>
        <v>#DIV/0!</v>
      </c>
      <c r="AO84" s="287">
        <f>AO85+AO86+AO87</f>
        <v>0</v>
      </c>
      <c r="AP84" s="287">
        <f>AP85+AP86+AP87</f>
        <v>0</v>
      </c>
      <c r="AQ84" s="292" t="e">
        <f t="shared" si="49"/>
        <v>#DIV/0!</v>
      </c>
      <c r="AR84" s="287"/>
      <c r="AS84" s="287"/>
      <c r="AT84" s="295" t="e">
        <f t="shared" si="64"/>
        <v>#DIV/0!</v>
      </c>
      <c r="AU84" s="287"/>
      <c r="AV84" s="287"/>
      <c r="AW84" s="295" t="e">
        <f t="shared" si="65"/>
        <v>#DIV/0!</v>
      </c>
      <c r="AX84" s="287">
        <f>AX85+AX86+AX87</f>
        <v>0</v>
      </c>
      <c r="AY84" s="288">
        <f>AY85+AY86+AY87</f>
        <v>0</v>
      </c>
      <c r="AZ84" s="294" t="e">
        <f t="shared" si="66"/>
        <v>#DIV/0!</v>
      </c>
      <c r="BA84" s="287">
        <f>BA85+BA86+BA87</f>
        <v>0</v>
      </c>
      <c r="BB84" s="287">
        <f>BB85+BB86+BB87</f>
        <v>0</v>
      </c>
      <c r="BC84" s="292" t="e">
        <f t="shared" si="50"/>
        <v>#DIV/0!</v>
      </c>
      <c r="BD84" s="288">
        <f>BD85+BD86+BD87</f>
        <v>0</v>
      </c>
      <c r="BE84" s="296">
        <f t="shared" si="67"/>
        <v>0</v>
      </c>
      <c r="BF84" s="297">
        <f t="shared" si="21"/>
        <v>210000</v>
      </c>
    </row>
    <row r="85" spans="1:58" ht="19.5" thickBot="1">
      <c r="A85" s="298">
        <v>2</v>
      </c>
      <c r="B85" s="299">
        <v>2</v>
      </c>
      <c r="C85" s="299">
        <v>7</v>
      </c>
      <c r="D85" s="299">
        <v>1</v>
      </c>
      <c r="E85" s="402" t="s">
        <v>150</v>
      </c>
      <c r="F85" s="90" t="s">
        <v>90</v>
      </c>
      <c r="G85" s="300">
        <v>60000</v>
      </c>
      <c r="H85" s="300"/>
      <c r="I85" s="304"/>
      <c r="J85" s="289" t="e">
        <f t="shared" si="55"/>
        <v>#DIV/0!</v>
      </c>
      <c r="K85" s="302"/>
      <c r="L85" s="300"/>
      <c r="M85" s="291" t="e">
        <f t="shared" si="56"/>
        <v>#DIV/0!</v>
      </c>
      <c r="N85" s="300"/>
      <c r="O85" s="300"/>
      <c r="P85" s="291" t="e">
        <f t="shared" si="57"/>
        <v>#DIV/0!</v>
      </c>
      <c r="Q85" s="280">
        <f aca="true" t="shared" si="68" ref="Q85:R87">N85+K85+H85</f>
        <v>0</v>
      </c>
      <c r="R85" s="280">
        <f t="shared" si="68"/>
        <v>0</v>
      </c>
      <c r="S85" s="292" t="e">
        <f t="shared" si="20"/>
        <v>#DIV/0!</v>
      </c>
      <c r="T85" s="300"/>
      <c r="U85" s="304"/>
      <c r="V85" s="291" t="e">
        <f t="shared" si="58"/>
        <v>#DIV/0!</v>
      </c>
      <c r="W85" s="300"/>
      <c r="X85" s="304"/>
      <c r="Y85" s="291" t="e">
        <f t="shared" si="59"/>
        <v>#DIV/0!</v>
      </c>
      <c r="Z85" s="300"/>
      <c r="AA85" s="304"/>
      <c r="AB85" s="291" t="e">
        <f t="shared" si="60"/>
        <v>#DIV/0!</v>
      </c>
      <c r="AC85" s="280">
        <f aca="true" t="shared" si="69" ref="AC85:AD87">Z85+W85+T85</f>
        <v>0</v>
      </c>
      <c r="AD85" s="280">
        <f t="shared" si="69"/>
        <v>0</v>
      </c>
      <c r="AE85" s="292" t="e">
        <f t="shared" si="38"/>
        <v>#DIV/0!</v>
      </c>
      <c r="AF85" s="300"/>
      <c r="AG85" s="304"/>
      <c r="AH85" s="293" t="e">
        <f t="shared" si="61"/>
        <v>#DIV/0!</v>
      </c>
      <c r="AI85" s="300"/>
      <c r="AJ85" s="304"/>
      <c r="AK85" s="294" t="e">
        <f t="shared" si="62"/>
        <v>#DIV/0!</v>
      </c>
      <c r="AL85" s="90"/>
      <c r="AM85" s="90"/>
      <c r="AN85" s="295" t="e">
        <f t="shared" si="63"/>
        <v>#DIV/0!</v>
      </c>
      <c r="AO85" s="300">
        <f aca="true" t="shared" si="70" ref="AO85:AP87">AL85+AI85+AF85</f>
        <v>0</v>
      </c>
      <c r="AP85" s="300">
        <f t="shared" si="70"/>
        <v>0</v>
      </c>
      <c r="AQ85" s="292" t="e">
        <f t="shared" si="49"/>
        <v>#DIV/0!</v>
      </c>
      <c r="AR85" s="300"/>
      <c r="AS85" s="300"/>
      <c r="AT85" s="295" t="e">
        <f t="shared" si="64"/>
        <v>#DIV/0!</v>
      </c>
      <c r="AU85" s="300"/>
      <c r="AV85" s="300"/>
      <c r="AW85" s="295" t="e">
        <f t="shared" si="65"/>
        <v>#DIV/0!</v>
      </c>
      <c r="AX85" s="300"/>
      <c r="AY85" s="304"/>
      <c r="AZ85" s="294" t="e">
        <f t="shared" si="66"/>
        <v>#DIV/0!</v>
      </c>
      <c r="BA85" s="280">
        <f aca="true" t="shared" si="71" ref="BA85:BB87">AX85+AU85+AR85</f>
        <v>0</v>
      </c>
      <c r="BB85" s="280">
        <f t="shared" si="71"/>
        <v>0</v>
      </c>
      <c r="BC85" s="292" t="e">
        <f t="shared" si="50"/>
        <v>#DIV/0!</v>
      </c>
      <c r="BD85" s="304">
        <f>I85+L85+O85+U85+X85+AA85+AG85+AJ85+AM85+AS85+AV85+AY85</f>
        <v>0</v>
      </c>
      <c r="BE85" s="296">
        <f t="shared" si="67"/>
        <v>0</v>
      </c>
      <c r="BF85" s="308">
        <f t="shared" si="21"/>
        <v>60000</v>
      </c>
    </row>
    <row r="86" spans="1:58" ht="19.5" thickBot="1">
      <c r="A86" s="355">
        <v>2</v>
      </c>
      <c r="B86" s="356">
        <v>2</v>
      </c>
      <c r="C86" s="356">
        <v>7</v>
      </c>
      <c r="D86" s="356">
        <v>1</v>
      </c>
      <c r="E86" s="410" t="s">
        <v>156</v>
      </c>
      <c r="F86" s="173" t="s">
        <v>136</v>
      </c>
      <c r="G86" s="343">
        <v>50000</v>
      </c>
      <c r="H86" s="343"/>
      <c r="I86" s="344"/>
      <c r="J86" s="339" t="e">
        <f t="shared" si="55"/>
        <v>#DIV/0!</v>
      </c>
      <c r="K86" s="350"/>
      <c r="L86" s="343"/>
      <c r="M86" s="269" t="e">
        <f t="shared" si="56"/>
        <v>#DIV/0!</v>
      </c>
      <c r="N86" s="343"/>
      <c r="O86" s="343"/>
      <c r="P86" s="269" t="e">
        <f t="shared" si="57"/>
        <v>#DIV/0!</v>
      </c>
      <c r="Q86" s="341">
        <f t="shared" si="68"/>
        <v>0</v>
      </c>
      <c r="R86" s="341">
        <f t="shared" si="68"/>
        <v>0</v>
      </c>
      <c r="S86" s="342" t="e">
        <f t="shared" si="20"/>
        <v>#DIV/0!</v>
      </c>
      <c r="T86" s="343"/>
      <c r="U86" s="344"/>
      <c r="V86" s="269" t="e">
        <f t="shared" si="58"/>
        <v>#DIV/0!</v>
      </c>
      <c r="W86" s="343"/>
      <c r="X86" s="344"/>
      <c r="Y86" s="269" t="e">
        <f t="shared" si="59"/>
        <v>#DIV/0!</v>
      </c>
      <c r="Z86" s="343"/>
      <c r="AA86" s="344"/>
      <c r="AB86" s="269" t="e">
        <f t="shared" si="60"/>
        <v>#DIV/0!</v>
      </c>
      <c r="AC86" s="341">
        <f t="shared" si="69"/>
        <v>0</v>
      </c>
      <c r="AD86" s="341">
        <f t="shared" si="69"/>
        <v>0</v>
      </c>
      <c r="AE86" s="342" t="e">
        <f t="shared" si="38"/>
        <v>#DIV/0!</v>
      </c>
      <c r="AF86" s="343"/>
      <c r="AG86" s="344"/>
      <c r="AH86" s="271" t="e">
        <f t="shared" si="61"/>
        <v>#DIV/0!</v>
      </c>
      <c r="AI86" s="343"/>
      <c r="AJ86" s="344"/>
      <c r="AK86" s="266" t="e">
        <f t="shared" si="62"/>
        <v>#DIV/0!</v>
      </c>
      <c r="AL86" s="173"/>
      <c r="AM86" s="173"/>
      <c r="AN86" s="265" t="e">
        <f t="shared" si="63"/>
        <v>#DIV/0!</v>
      </c>
      <c r="AO86" s="343">
        <f t="shared" si="70"/>
        <v>0</v>
      </c>
      <c r="AP86" s="343">
        <f t="shared" si="70"/>
        <v>0</v>
      </c>
      <c r="AQ86" s="342" t="e">
        <f t="shared" si="49"/>
        <v>#DIV/0!</v>
      </c>
      <c r="AR86" s="343"/>
      <c r="AS86" s="343"/>
      <c r="AT86" s="265" t="e">
        <f t="shared" si="64"/>
        <v>#DIV/0!</v>
      </c>
      <c r="AU86" s="343"/>
      <c r="AV86" s="343"/>
      <c r="AW86" s="265" t="e">
        <f t="shared" si="65"/>
        <v>#DIV/0!</v>
      </c>
      <c r="AX86" s="343"/>
      <c r="AY86" s="344"/>
      <c r="AZ86" s="266" t="e">
        <f t="shared" si="66"/>
        <v>#DIV/0!</v>
      </c>
      <c r="BA86" s="341">
        <f t="shared" si="71"/>
        <v>0</v>
      </c>
      <c r="BB86" s="341">
        <f t="shared" si="71"/>
        <v>0</v>
      </c>
      <c r="BC86" s="342" t="e">
        <f t="shared" si="50"/>
        <v>#DIV/0!</v>
      </c>
      <c r="BD86" s="344">
        <f>I86+L86+O86+U86+X86+AA86+AG86+AJ86+AM86+AS86+AV86+AY86</f>
        <v>0</v>
      </c>
      <c r="BE86" s="345">
        <f t="shared" si="67"/>
        <v>0</v>
      </c>
      <c r="BF86" s="352">
        <f aca="true" t="shared" si="72" ref="BF86:BF149">G86-(I86+L86+O86+U86+X86+AA86+AG86+AJ86+AM86+AS86+AV86+AY86)</f>
        <v>50000</v>
      </c>
    </row>
    <row r="87" spans="1:58" ht="19.5" thickBot="1">
      <c r="A87" s="357">
        <v>2</v>
      </c>
      <c r="B87" s="329">
        <v>2</v>
      </c>
      <c r="C87" s="329">
        <v>7</v>
      </c>
      <c r="D87" s="329">
        <v>1</v>
      </c>
      <c r="E87" s="411" t="s">
        <v>157</v>
      </c>
      <c r="F87" s="169" t="s">
        <v>208</v>
      </c>
      <c r="G87" s="278">
        <v>100000</v>
      </c>
      <c r="H87" s="278"/>
      <c r="I87" s="275"/>
      <c r="J87" s="276" t="e">
        <f t="shared" si="55"/>
        <v>#DIV/0!</v>
      </c>
      <c r="K87" s="277"/>
      <c r="L87" s="278"/>
      <c r="M87" s="279" t="e">
        <f t="shared" si="56"/>
        <v>#DIV/0!</v>
      </c>
      <c r="N87" s="278"/>
      <c r="O87" s="278"/>
      <c r="P87" s="279" t="e">
        <f t="shared" si="57"/>
        <v>#DIV/0!</v>
      </c>
      <c r="Q87" s="330">
        <f t="shared" si="68"/>
        <v>0</v>
      </c>
      <c r="R87" s="330">
        <f t="shared" si="68"/>
        <v>0</v>
      </c>
      <c r="S87" s="281" t="e">
        <f aca="true" t="shared" si="73" ref="S87:S150">R87/Q87</f>
        <v>#DIV/0!</v>
      </c>
      <c r="T87" s="278"/>
      <c r="U87" s="275"/>
      <c r="V87" s="279" t="e">
        <f t="shared" si="58"/>
        <v>#DIV/0!</v>
      </c>
      <c r="W87" s="278"/>
      <c r="X87" s="275"/>
      <c r="Y87" s="279" t="e">
        <f t="shared" si="59"/>
        <v>#DIV/0!</v>
      </c>
      <c r="Z87" s="278"/>
      <c r="AA87" s="275"/>
      <c r="AB87" s="279" t="e">
        <f t="shared" si="60"/>
        <v>#DIV/0!</v>
      </c>
      <c r="AC87" s="330">
        <f t="shared" si="69"/>
        <v>0</v>
      </c>
      <c r="AD87" s="330">
        <f t="shared" si="69"/>
        <v>0</v>
      </c>
      <c r="AE87" s="281" t="e">
        <f t="shared" si="38"/>
        <v>#DIV/0!</v>
      </c>
      <c r="AF87" s="278"/>
      <c r="AG87" s="275"/>
      <c r="AH87" s="282" t="e">
        <f t="shared" si="61"/>
        <v>#DIV/0!</v>
      </c>
      <c r="AI87" s="278"/>
      <c r="AJ87" s="275"/>
      <c r="AK87" s="283" t="e">
        <f t="shared" si="62"/>
        <v>#DIV/0!</v>
      </c>
      <c r="AL87" s="169"/>
      <c r="AM87" s="169"/>
      <c r="AN87" s="274" t="e">
        <f t="shared" si="63"/>
        <v>#DIV/0!</v>
      </c>
      <c r="AO87" s="278">
        <f t="shared" si="70"/>
        <v>0</v>
      </c>
      <c r="AP87" s="278">
        <f t="shared" si="70"/>
        <v>0</v>
      </c>
      <c r="AQ87" s="281" t="e">
        <f t="shared" si="49"/>
        <v>#DIV/0!</v>
      </c>
      <c r="AR87" s="278"/>
      <c r="AS87" s="278"/>
      <c r="AT87" s="274" t="e">
        <f t="shared" si="64"/>
        <v>#DIV/0!</v>
      </c>
      <c r="AU87" s="278"/>
      <c r="AV87" s="278"/>
      <c r="AW87" s="274" t="e">
        <f t="shared" si="65"/>
        <v>#DIV/0!</v>
      </c>
      <c r="AX87" s="278"/>
      <c r="AY87" s="275"/>
      <c r="AZ87" s="283" t="e">
        <f t="shared" si="66"/>
        <v>#DIV/0!</v>
      </c>
      <c r="BA87" s="330">
        <f t="shared" si="71"/>
        <v>0</v>
      </c>
      <c r="BB87" s="330">
        <f t="shared" si="71"/>
        <v>0</v>
      </c>
      <c r="BC87" s="281" t="e">
        <f t="shared" si="50"/>
        <v>#DIV/0!</v>
      </c>
      <c r="BD87" s="275">
        <f>I87+L87+O87+U87+X87+AA87+AG87+AJ87+AM87+AS87+AV87+AY87</f>
        <v>0</v>
      </c>
      <c r="BE87" s="279">
        <f t="shared" si="67"/>
        <v>0</v>
      </c>
      <c r="BF87" s="285">
        <f t="shared" si="72"/>
        <v>100000</v>
      </c>
    </row>
    <row r="88" spans="1:58" ht="22.5" thickBot="1">
      <c r="A88" s="286">
        <v>2</v>
      </c>
      <c r="B88" s="231">
        <v>2</v>
      </c>
      <c r="C88" s="231">
        <v>7</v>
      </c>
      <c r="D88" s="231">
        <v>2</v>
      </c>
      <c r="E88" s="401"/>
      <c r="F88" s="155" t="s">
        <v>89</v>
      </c>
      <c r="G88" s="287">
        <f>G89+G90+G91+G92</f>
        <v>260000</v>
      </c>
      <c r="H88" s="287">
        <f>H89+H90+H91+H92</f>
        <v>0</v>
      </c>
      <c r="I88" s="288">
        <f>I89+I90+I91+I92</f>
        <v>6135.34</v>
      </c>
      <c r="J88" s="289" t="e">
        <f t="shared" si="55"/>
        <v>#DIV/0!</v>
      </c>
      <c r="K88" s="290">
        <f>K89+K90+K91+K92</f>
        <v>0</v>
      </c>
      <c r="L88" s="287">
        <f>L89+L90+L91+L92</f>
        <v>16803.8</v>
      </c>
      <c r="M88" s="291" t="e">
        <f t="shared" si="56"/>
        <v>#DIV/0!</v>
      </c>
      <c r="N88" s="287">
        <f>N89+N90+N91+N92</f>
        <v>0</v>
      </c>
      <c r="O88" s="287">
        <f>O89+O90+O91+O92</f>
        <v>68217.13</v>
      </c>
      <c r="P88" s="291" t="e">
        <f t="shared" si="57"/>
        <v>#DIV/0!</v>
      </c>
      <c r="Q88" s="287">
        <f>Q89+Q90+Q91+Q92</f>
        <v>0</v>
      </c>
      <c r="R88" s="287">
        <f>R89+R90+R91+R92</f>
        <v>91156.27</v>
      </c>
      <c r="S88" s="292" t="e">
        <f t="shared" si="73"/>
        <v>#DIV/0!</v>
      </c>
      <c r="T88" s="287">
        <f>T89+T90+T91+T92</f>
        <v>0</v>
      </c>
      <c r="U88" s="288">
        <f>U89+U90+U91+U92</f>
        <v>0</v>
      </c>
      <c r="V88" s="291" t="e">
        <f t="shared" si="58"/>
        <v>#DIV/0!</v>
      </c>
      <c r="W88" s="287">
        <f>W89+W90+W91+W92</f>
        <v>0</v>
      </c>
      <c r="X88" s="288">
        <f>X89+X90+X91+X92</f>
        <v>0</v>
      </c>
      <c r="Y88" s="291" t="e">
        <f t="shared" si="59"/>
        <v>#DIV/0!</v>
      </c>
      <c r="Z88" s="287">
        <f>Z89+Z90+Z91+Z92</f>
        <v>0</v>
      </c>
      <c r="AA88" s="288">
        <f>AA89+AA90+AA91+AA92</f>
        <v>0</v>
      </c>
      <c r="AB88" s="291" t="e">
        <f t="shared" si="60"/>
        <v>#DIV/0!</v>
      </c>
      <c r="AC88" s="287">
        <f>AC89+AC90+AC91+AC92</f>
        <v>0</v>
      </c>
      <c r="AD88" s="287">
        <f>AD89+AD90+AD91+AD92</f>
        <v>0</v>
      </c>
      <c r="AE88" s="292" t="e">
        <f t="shared" si="38"/>
        <v>#DIV/0!</v>
      </c>
      <c r="AF88" s="287">
        <f>AF89+AF90+AF91+AF92</f>
        <v>0</v>
      </c>
      <c r="AG88" s="288">
        <f>AG89+AG90+AG91+AG92</f>
        <v>0</v>
      </c>
      <c r="AH88" s="293" t="e">
        <f t="shared" si="61"/>
        <v>#DIV/0!</v>
      </c>
      <c r="AI88" s="287">
        <f>AI89+AI90+AI91+AI92</f>
        <v>0</v>
      </c>
      <c r="AJ88" s="288">
        <f>AJ89+AJ90+AJ91+AJ92</f>
        <v>0</v>
      </c>
      <c r="AK88" s="294" t="e">
        <f t="shared" si="62"/>
        <v>#DIV/0!</v>
      </c>
      <c r="AL88" s="287">
        <f>AL89+AL90+AL91+AL92</f>
        <v>0</v>
      </c>
      <c r="AM88" s="287">
        <f>AM89+AM90+AM91+AM92</f>
        <v>0</v>
      </c>
      <c r="AN88" s="295" t="e">
        <f t="shared" si="63"/>
        <v>#DIV/0!</v>
      </c>
      <c r="AO88" s="287">
        <f>AO89+AO90+AO91+AO92</f>
        <v>0</v>
      </c>
      <c r="AP88" s="287">
        <f>AP89+AP90+AP91+AP92</f>
        <v>0</v>
      </c>
      <c r="AQ88" s="292" t="e">
        <f t="shared" si="49"/>
        <v>#DIV/0!</v>
      </c>
      <c r="AR88" s="287"/>
      <c r="AS88" s="287"/>
      <c r="AT88" s="295" t="e">
        <f t="shared" si="64"/>
        <v>#DIV/0!</v>
      </c>
      <c r="AU88" s="287"/>
      <c r="AV88" s="287"/>
      <c r="AW88" s="295" t="e">
        <f t="shared" si="65"/>
        <v>#DIV/0!</v>
      </c>
      <c r="AX88" s="287">
        <f>AX89+AX90+AX91+AX92</f>
        <v>0</v>
      </c>
      <c r="AY88" s="288">
        <f>AY89+AY90+AY91+AY92</f>
        <v>0</v>
      </c>
      <c r="AZ88" s="294" t="e">
        <f t="shared" si="66"/>
        <v>#DIV/0!</v>
      </c>
      <c r="BA88" s="287">
        <f>BA89+BA90+BA91+BA92</f>
        <v>0</v>
      </c>
      <c r="BB88" s="287">
        <f>BB89+BB90+BB91+BB92</f>
        <v>0</v>
      </c>
      <c r="BC88" s="292" t="e">
        <f t="shared" si="50"/>
        <v>#DIV/0!</v>
      </c>
      <c r="BD88" s="288">
        <f>BD89+BD90+BD91+BD92</f>
        <v>91156.27</v>
      </c>
      <c r="BE88" s="296">
        <f t="shared" si="67"/>
        <v>0.35060103846153845</v>
      </c>
      <c r="BF88" s="297">
        <f t="shared" si="72"/>
        <v>168843.72999999998</v>
      </c>
    </row>
    <row r="89" spans="1:58" ht="23.25" thickBot="1">
      <c r="A89" s="298">
        <v>2</v>
      </c>
      <c r="B89" s="299">
        <v>2</v>
      </c>
      <c r="C89" s="299">
        <v>7</v>
      </c>
      <c r="D89" s="299">
        <v>2</v>
      </c>
      <c r="E89" s="402" t="s">
        <v>149</v>
      </c>
      <c r="F89" s="90" t="s">
        <v>37</v>
      </c>
      <c r="G89" s="300">
        <v>50000</v>
      </c>
      <c r="H89" s="300"/>
      <c r="I89" s="304"/>
      <c r="J89" s="289" t="e">
        <f t="shared" si="55"/>
        <v>#DIV/0!</v>
      </c>
      <c r="K89" s="302"/>
      <c r="L89" s="300">
        <v>16803.8</v>
      </c>
      <c r="M89" s="291" t="e">
        <f t="shared" si="56"/>
        <v>#DIV/0!</v>
      </c>
      <c r="N89" s="300"/>
      <c r="O89" s="300">
        <v>65148</v>
      </c>
      <c r="P89" s="291" t="e">
        <f t="shared" si="57"/>
        <v>#DIV/0!</v>
      </c>
      <c r="Q89" s="280">
        <f aca="true" t="shared" si="74" ref="Q89:R92">N89+K89+H89</f>
        <v>0</v>
      </c>
      <c r="R89" s="280">
        <f t="shared" si="74"/>
        <v>81951.8</v>
      </c>
      <c r="S89" s="292" t="e">
        <f t="shared" si="73"/>
        <v>#DIV/0!</v>
      </c>
      <c r="T89" s="300"/>
      <c r="U89" s="304"/>
      <c r="V89" s="291" t="e">
        <f t="shared" si="58"/>
        <v>#DIV/0!</v>
      </c>
      <c r="W89" s="300"/>
      <c r="X89" s="304"/>
      <c r="Y89" s="291" t="e">
        <f t="shared" si="59"/>
        <v>#DIV/0!</v>
      </c>
      <c r="Z89" s="300"/>
      <c r="AA89" s="304"/>
      <c r="AB89" s="291" t="e">
        <f t="shared" si="60"/>
        <v>#DIV/0!</v>
      </c>
      <c r="AC89" s="280">
        <f aca="true" t="shared" si="75" ref="AC89:AD92">Z89+W89+T89</f>
        <v>0</v>
      </c>
      <c r="AD89" s="280">
        <f t="shared" si="75"/>
        <v>0</v>
      </c>
      <c r="AE89" s="292" t="e">
        <f t="shared" si="38"/>
        <v>#DIV/0!</v>
      </c>
      <c r="AF89" s="300"/>
      <c r="AG89" s="304"/>
      <c r="AH89" s="293" t="e">
        <f t="shared" si="61"/>
        <v>#DIV/0!</v>
      </c>
      <c r="AI89" s="300"/>
      <c r="AJ89" s="304"/>
      <c r="AK89" s="294" t="e">
        <f t="shared" si="62"/>
        <v>#DIV/0!</v>
      </c>
      <c r="AL89" s="90"/>
      <c r="AM89" s="90"/>
      <c r="AN89" s="295" t="e">
        <f t="shared" si="63"/>
        <v>#DIV/0!</v>
      </c>
      <c r="AO89" s="300">
        <f aca="true" t="shared" si="76" ref="AO89:AP92">AL89+AI89+AF89</f>
        <v>0</v>
      </c>
      <c r="AP89" s="300">
        <f t="shared" si="76"/>
        <v>0</v>
      </c>
      <c r="AQ89" s="292" t="e">
        <f t="shared" si="49"/>
        <v>#DIV/0!</v>
      </c>
      <c r="AR89" s="300"/>
      <c r="AS89" s="300"/>
      <c r="AT89" s="295" t="e">
        <f t="shared" si="64"/>
        <v>#DIV/0!</v>
      </c>
      <c r="AU89" s="300"/>
      <c r="AV89" s="300"/>
      <c r="AW89" s="295" t="e">
        <f t="shared" si="65"/>
        <v>#DIV/0!</v>
      </c>
      <c r="AX89" s="300"/>
      <c r="AY89" s="304"/>
      <c r="AZ89" s="294" t="e">
        <f t="shared" si="66"/>
        <v>#DIV/0!</v>
      </c>
      <c r="BA89" s="280">
        <f aca="true" t="shared" si="77" ref="BA89:BB92">AX89+AU89+AR89</f>
        <v>0</v>
      </c>
      <c r="BB89" s="280">
        <f t="shared" si="77"/>
        <v>0</v>
      </c>
      <c r="BC89" s="292" t="e">
        <f t="shared" si="50"/>
        <v>#DIV/0!</v>
      </c>
      <c r="BD89" s="304">
        <f>I89+L89+O89+U89+X89+AA89+AG89+AJ89+AM89+AS89+AV89+AY89</f>
        <v>81951.8</v>
      </c>
      <c r="BE89" s="296">
        <f t="shared" si="67"/>
        <v>1.6390360000000002</v>
      </c>
      <c r="BF89" s="309">
        <f t="shared" si="72"/>
        <v>-31951.800000000003</v>
      </c>
    </row>
    <row r="90" spans="1:58" ht="23.25" thickBot="1">
      <c r="A90" s="298">
        <v>2</v>
      </c>
      <c r="B90" s="299">
        <v>2</v>
      </c>
      <c r="C90" s="299">
        <v>7</v>
      </c>
      <c r="D90" s="299">
        <v>2</v>
      </c>
      <c r="E90" s="402" t="s">
        <v>150</v>
      </c>
      <c r="F90" s="90" t="s">
        <v>38</v>
      </c>
      <c r="G90" s="300">
        <v>50000</v>
      </c>
      <c r="H90" s="300"/>
      <c r="I90" s="304"/>
      <c r="J90" s="289" t="e">
        <f t="shared" si="55"/>
        <v>#DIV/0!</v>
      </c>
      <c r="K90" s="302"/>
      <c r="L90" s="300"/>
      <c r="M90" s="291" t="e">
        <f t="shared" si="56"/>
        <v>#DIV/0!</v>
      </c>
      <c r="N90" s="300"/>
      <c r="O90" s="300"/>
      <c r="P90" s="291" t="e">
        <f t="shared" si="57"/>
        <v>#DIV/0!</v>
      </c>
      <c r="Q90" s="280">
        <f t="shared" si="74"/>
        <v>0</v>
      </c>
      <c r="R90" s="280">
        <f t="shared" si="74"/>
        <v>0</v>
      </c>
      <c r="S90" s="292" t="e">
        <f t="shared" si="73"/>
        <v>#DIV/0!</v>
      </c>
      <c r="T90" s="300"/>
      <c r="U90" s="304"/>
      <c r="V90" s="291" t="e">
        <f t="shared" si="58"/>
        <v>#DIV/0!</v>
      </c>
      <c r="W90" s="300"/>
      <c r="X90" s="304"/>
      <c r="Y90" s="291" t="e">
        <f t="shared" si="59"/>
        <v>#DIV/0!</v>
      </c>
      <c r="Z90" s="300"/>
      <c r="AA90" s="304"/>
      <c r="AB90" s="291" t="e">
        <f t="shared" si="60"/>
        <v>#DIV/0!</v>
      </c>
      <c r="AC90" s="280">
        <f t="shared" si="75"/>
        <v>0</v>
      </c>
      <c r="AD90" s="280">
        <f t="shared" si="75"/>
        <v>0</v>
      </c>
      <c r="AE90" s="292" t="e">
        <f t="shared" si="38"/>
        <v>#DIV/0!</v>
      </c>
      <c r="AF90" s="300"/>
      <c r="AG90" s="304"/>
      <c r="AH90" s="293" t="e">
        <f t="shared" si="61"/>
        <v>#DIV/0!</v>
      </c>
      <c r="AI90" s="300"/>
      <c r="AJ90" s="304"/>
      <c r="AK90" s="294" t="e">
        <f t="shared" si="62"/>
        <v>#DIV/0!</v>
      </c>
      <c r="AL90" s="90"/>
      <c r="AM90" s="90"/>
      <c r="AN90" s="295" t="e">
        <f t="shared" si="63"/>
        <v>#DIV/0!</v>
      </c>
      <c r="AO90" s="300">
        <f t="shared" si="76"/>
        <v>0</v>
      </c>
      <c r="AP90" s="300">
        <f t="shared" si="76"/>
        <v>0</v>
      </c>
      <c r="AQ90" s="292" t="e">
        <f t="shared" si="49"/>
        <v>#DIV/0!</v>
      </c>
      <c r="AR90" s="300"/>
      <c r="AS90" s="300"/>
      <c r="AT90" s="295" t="e">
        <f t="shared" si="64"/>
        <v>#DIV/0!</v>
      </c>
      <c r="AU90" s="300"/>
      <c r="AV90" s="300"/>
      <c r="AW90" s="295" t="e">
        <f t="shared" si="65"/>
        <v>#DIV/0!</v>
      </c>
      <c r="AX90" s="300"/>
      <c r="AY90" s="304"/>
      <c r="AZ90" s="294" t="e">
        <f t="shared" si="66"/>
        <v>#DIV/0!</v>
      </c>
      <c r="BA90" s="280">
        <f t="shared" si="77"/>
        <v>0</v>
      </c>
      <c r="BB90" s="280">
        <f t="shared" si="77"/>
        <v>0</v>
      </c>
      <c r="BC90" s="292" t="e">
        <f t="shared" si="50"/>
        <v>#DIV/0!</v>
      </c>
      <c r="BD90" s="304">
        <f>I90+L90+O90+U90+X90+AA90+AG90+AJ90+AM90+AS90+AV90+AY90</f>
        <v>0</v>
      </c>
      <c r="BE90" s="296">
        <f t="shared" si="67"/>
        <v>0</v>
      </c>
      <c r="BF90" s="308">
        <f t="shared" si="72"/>
        <v>50000</v>
      </c>
    </row>
    <row r="91" spans="1:58" ht="23.25" thickBot="1">
      <c r="A91" s="298">
        <v>2</v>
      </c>
      <c r="B91" s="299">
        <v>2</v>
      </c>
      <c r="C91" s="299">
        <v>7</v>
      </c>
      <c r="D91" s="299">
        <v>2</v>
      </c>
      <c r="E91" s="402" t="s">
        <v>153</v>
      </c>
      <c r="F91" s="90" t="s">
        <v>91</v>
      </c>
      <c r="G91" s="300">
        <v>60000</v>
      </c>
      <c r="H91" s="300"/>
      <c r="I91" s="304"/>
      <c r="J91" s="289" t="e">
        <f t="shared" si="55"/>
        <v>#DIV/0!</v>
      </c>
      <c r="K91" s="302"/>
      <c r="L91" s="300"/>
      <c r="M91" s="291" t="e">
        <f t="shared" si="56"/>
        <v>#DIV/0!</v>
      </c>
      <c r="N91" s="300"/>
      <c r="O91" s="300"/>
      <c r="P91" s="291" t="e">
        <f t="shared" si="57"/>
        <v>#DIV/0!</v>
      </c>
      <c r="Q91" s="280">
        <f t="shared" si="74"/>
        <v>0</v>
      </c>
      <c r="R91" s="280">
        <f t="shared" si="74"/>
        <v>0</v>
      </c>
      <c r="S91" s="292" t="e">
        <f t="shared" si="73"/>
        <v>#DIV/0!</v>
      </c>
      <c r="T91" s="300"/>
      <c r="U91" s="304"/>
      <c r="V91" s="291" t="e">
        <f t="shared" si="58"/>
        <v>#DIV/0!</v>
      </c>
      <c r="W91" s="300"/>
      <c r="X91" s="304"/>
      <c r="Y91" s="291" t="e">
        <f t="shared" si="59"/>
        <v>#DIV/0!</v>
      </c>
      <c r="Z91" s="300"/>
      <c r="AA91" s="304"/>
      <c r="AB91" s="291" t="e">
        <f t="shared" si="60"/>
        <v>#DIV/0!</v>
      </c>
      <c r="AC91" s="280">
        <f t="shared" si="75"/>
        <v>0</v>
      </c>
      <c r="AD91" s="280">
        <f t="shared" si="75"/>
        <v>0</v>
      </c>
      <c r="AE91" s="292" t="e">
        <f t="shared" si="38"/>
        <v>#DIV/0!</v>
      </c>
      <c r="AF91" s="300"/>
      <c r="AG91" s="304"/>
      <c r="AH91" s="293" t="e">
        <f t="shared" si="61"/>
        <v>#DIV/0!</v>
      </c>
      <c r="AI91" s="300"/>
      <c r="AJ91" s="304"/>
      <c r="AK91" s="294" t="e">
        <f t="shared" si="62"/>
        <v>#DIV/0!</v>
      </c>
      <c r="AL91" s="90"/>
      <c r="AM91" s="90"/>
      <c r="AN91" s="295" t="e">
        <f t="shared" si="63"/>
        <v>#DIV/0!</v>
      </c>
      <c r="AO91" s="300">
        <f t="shared" si="76"/>
        <v>0</v>
      </c>
      <c r="AP91" s="300">
        <f t="shared" si="76"/>
        <v>0</v>
      </c>
      <c r="AQ91" s="292" t="e">
        <f t="shared" si="49"/>
        <v>#DIV/0!</v>
      </c>
      <c r="AR91" s="300"/>
      <c r="AS91" s="300"/>
      <c r="AT91" s="295" t="e">
        <f t="shared" si="64"/>
        <v>#DIV/0!</v>
      </c>
      <c r="AU91" s="300"/>
      <c r="AV91" s="300"/>
      <c r="AW91" s="295" t="e">
        <f t="shared" si="65"/>
        <v>#DIV/0!</v>
      </c>
      <c r="AX91" s="300"/>
      <c r="AY91" s="304"/>
      <c r="AZ91" s="294" t="e">
        <f t="shared" si="66"/>
        <v>#DIV/0!</v>
      </c>
      <c r="BA91" s="280">
        <f t="shared" si="77"/>
        <v>0</v>
      </c>
      <c r="BB91" s="280">
        <f t="shared" si="77"/>
        <v>0</v>
      </c>
      <c r="BC91" s="292" t="e">
        <f t="shared" si="50"/>
        <v>#DIV/0!</v>
      </c>
      <c r="BD91" s="304">
        <f>I91+L91+O91+U91+X91+AA91+AG91+AJ91+AM91+AS91+AV91+AY91</f>
        <v>0</v>
      </c>
      <c r="BE91" s="296">
        <f t="shared" si="67"/>
        <v>0</v>
      </c>
      <c r="BF91" s="308">
        <f t="shared" si="72"/>
        <v>60000</v>
      </c>
    </row>
    <row r="92" spans="1:58" ht="23.25" thickBot="1">
      <c r="A92" s="298">
        <v>2</v>
      </c>
      <c r="B92" s="299">
        <v>2</v>
      </c>
      <c r="C92" s="299">
        <v>7</v>
      </c>
      <c r="D92" s="299">
        <v>2</v>
      </c>
      <c r="E92" s="402" t="s">
        <v>156</v>
      </c>
      <c r="F92" s="90" t="s">
        <v>92</v>
      </c>
      <c r="G92" s="300">
        <v>100000</v>
      </c>
      <c r="H92" s="300"/>
      <c r="I92" s="304">
        <v>6135.34</v>
      </c>
      <c r="J92" s="289" t="e">
        <f t="shared" si="55"/>
        <v>#DIV/0!</v>
      </c>
      <c r="K92" s="302"/>
      <c r="L92" s="300"/>
      <c r="M92" s="291" t="e">
        <f t="shared" si="56"/>
        <v>#DIV/0!</v>
      </c>
      <c r="N92" s="300"/>
      <c r="O92" s="300">
        <v>3069.13</v>
      </c>
      <c r="P92" s="291" t="e">
        <f t="shared" si="57"/>
        <v>#DIV/0!</v>
      </c>
      <c r="Q92" s="280">
        <f t="shared" si="74"/>
        <v>0</v>
      </c>
      <c r="R92" s="280">
        <f t="shared" si="74"/>
        <v>9204.470000000001</v>
      </c>
      <c r="S92" s="292" t="e">
        <f t="shared" si="73"/>
        <v>#DIV/0!</v>
      </c>
      <c r="T92" s="300"/>
      <c r="U92" s="304"/>
      <c r="V92" s="291" t="e">
        <f t="shared" si="58"/>
        <v>#DIV/0!</v>
      </c>
      <c r="W92" s="300"/>
      <c r="X92" s="304"/>
      <c r="Y92" s="291" t="e">
        <f t="shared" si="59"/>
        <v>#DIV/0!</v>
      </c>
      <c r="Z92" s="300"/>
      <c r="AA92" s="304"/>
      <c r="AB92" s="291" t="e">
        <f t="shared" si="60"/>
        <v>#DIV/0!</v>
      </c>
      <c r="AC92" s="280">
        <f t="shared" si="75"/>
        <v>0</v>
      </c>
      <c r="AD92" s="280">
        <f t="shared" si="75"/>
        <v>0</v>
      </c>
      <c r="AE92" s="292" t="e">
        <f t="shared" si="38"/>
        <v>#DIV/0!</v>
      </c>
      <c r="AF92" s="300"/>
      <c r="AG92" s="304"/>
      <c r="AH92" s="293" t="e">
        <f t="shared" si="61"/>
        <v>#DIV/0!</v>
      </c>
      <c r="AI92" s="300"/>
      <c r="AJ92" s="304"/>
      <c r="AK92" s="294" t="e">
        <f t="shared" si="62"/>
        <v>#DIV/0!</v>
      </c>
      <c r="AL92" s="90"/>
      <c r="AM92" s="90"/>
      <c r="AN92" s="295" t="e">
        <f t="shared" si="63"/>
        <v>#DIV/0!</v>
      </c>
      <c r="AO92" s="300">
        <f t="shared" si="76"/>
        <v>0</v>
      </c>
      <c r="AP92" s="300">
        <f t="shared" si="76"/>
        <v>0</v>
      </c>
      <c r="AQ92" s="292" t="e">
        <f t="shared" si="49"/>
        <v>#DIV/0!</v>
      </c>
      <c r="AR92" s="300"/>
      <c r="AS92" s="300"/>
      <c r="AT92" s="295" t="e">
        <f t="shared" si="64"/>
        <v>#DIV/0!</v>
      </c>
      <c r="AU92" s="300"/>
      <c r="AV92" s="300"/>
      <c r="AW92" s="295" t="e">
        <f t="shared" si="65"/>
        <v>#DIV/0!</v>
      </c>
      <c r="AX92" s="300"/>
      <c r="AY92" s="304"/>
      <c r="AZ92" s="294" t="e">
        <f t="shared" si="66"/>
        <v>#DIV/0!</v>
      </c>
      <c r="BA92" s="280">
        <f t="shared" si="77"/>
        <v>0</v>
      </c>
      <c r="BB92" s="280">
        <f t="shared" si="77"/>
        <v>0</v>
      </c>
      <c r="BC92" s="292" t="e">
        <f t="shared" si="50"/>
        <v>#DIV/0!</v>
      </c>
      <c r="BD92" s="304">
        <f>I92+L92+O92+U92+X92+AA92+AG92+AJ92+AM92+AS92+AV92+AY92</f>
        <v>9204.470000000001</v>
      </c>
      <c r="BE92" s="296">
        <f t="shared" si="67"/>
        <v>0.09204470000000001</v>
      </c>
      <c r="BF92" s="308">
        <f t="shared" si="72"/>
        <v>90795.53</v>
      </c>
    </row>
    <row r="93" spans="1:58" ht="13.5" thickBot="1">
      <c r="A93" s="286">
        <v>2</v>
      </c>
      <c r="B93" s="231">
        <v>2</v>
      </c>
      <c r="C93" s="231">
        <v>8</v>
      </c>
      <c r="D93" s="231"/>
      <c r="E93" s="404"/>
      <c r="F93" s="155" t="s">
        <v>207</v>
      </c>
      <c r="G93" s="287">
        <f>G94+G95+G96+G100+G102+G108</f>
        <v>2269000</v>
      </c>
      <c r="H93" s="287">
        <f>H94+H95+H96+H100+H102+H108</f>
        <v>0</v>
      </c>
      <c r="I93" s="288">
        <f>I94+I95+I96+I100+I102+I108</f>
        <v>200000</v>
      </c>
      <c r="J93" s="289" t="e">
        <f t="shared" si="55"/>
        <v>#DIV/0!</v>
      </c>
      <c r="K93" s="290">
        <f>K94+K95+K96+K100+K102+K108</f>
        <v>0</v>
      </c>
      <c r="L93" s="287">
        <f>L94+L95+L96+L100+L102+L108</f>
        <v>438200</v>
      </c>
      <c r="M93" s="291" t="e">
        <f t="shared" si="56"/>
        <v>#DIV/0!</v>
      </c>
      <c r="N93" s="287">
        <f>N94+N95+N96+N100+N102+N108</f>
        <v>0</v>
      </c>
      <c r="O93" s="287">
        <f>O94+O95+O96+O100+O102+O108</f>
        <v>56600</v>
      </c>
      <c r="P93" s="291" t="e">
        <f t="shared" si="57"/>
        <v>#DIV/0!</v>
      </c>
      <c r="Q93" s="287">
        <f>Q94+Q95+Q96+Q100+Q102+Q108</f>
        <v>0</v>
      </c>
      <c r="R93" s="287">
        <f>R94+R95+R96+R100+R102+R108</f>
        <v>694800</v>
      </c>
      <c r="S93" s="292" t="e">
        <f t="shared" si="73"/>
        <v>#DIV/0!</v>
      </c>
      <c r="T93" s="287">
        <f>T94+T95+T96+T100+T102+T108</f>
        <v>0</v>
      </c>
      <c r="U93" s="288">
        <f>U94+U95+U96+U100+U102+U108</f>
        <v>0</v>
      </c>
      <c r="V93" s="291" t="e">
        <f t="shared" si="58"/>
        <v>#DIV/0!</v>
      </c>
      <c r="W93" s="287">
        <f>W94+W95+W96+W100+W102+W108</f>
        <v>0</v>
      </c>
      <c r="X93" s="288">
        <f>X94+X95+X96+X100+X102+X108</f>
        <v>0</v>
      </c>
      <c r="Y93" s="291" t="e">
        <f t="shared" si="59"/>
        <v>#DIV/0!</v>
      </c>
      <c r="Z93" s="287">
        <f>Z94+Z95+Z96+Z100+Z102+Z108</f>
        <v>0</v>
      </c>
      <c r="AA93" s="288">
        <f>AA94+AA95+AA96+AA100+AA102+AA108</f>
        <v>0</v>
      </c>
      <c r="AB93" s="291" t="e">
        <f t="shared" si="60"/>
        <v>#DIV/0!</v>
      </c>
      <c r="AC93" s="287">
        <f>AC94+AC95+AC96+AC100+AC102+AC108</f>
        <v>0</v>
      </c>
      <c r="AD93" s="287">
        <f>AD94+AD95+AD96+AD100+AD102+AD108</f>
        <v>0</v>
      </c>
      <c r="AE93" s="292" t="e">
        <f t="shared" si="38"/>
        <v>#DIV/0!</v>
      </c>
      <c r="AF93" s="287">
        <f>AF94+AF95+AF96+AF100+AF102+AF108</f>
        <v>0</v>
      </c>
      <c r="AG93" s="288">
        <f>AG94+AG95+AG96+AG100+AG102+AG108</f>
        <v>0</v>
      </c>
      <c r="AH93" s="293" t="e">
        <f t="shared" si="61"/>
        <v>#DIV/0!</v>
      </c>
      <c r="AI93" s="287">
        <f>AI94+AI95+AI96+AI100+AI102+AI108</f>
        <v>0</v>
      </c>
      <c r="AJ93" s="288">
        <f>AJ94+AJ95+AJ96+AJ100+AJ102+AJ108</f>
        <v>0</v>
      </c>
      <c r="AK93" s="294" t="e">
        <f t="shared" si="62"/>
        <v>#DIV/0!</v>
      </c>
      <c r="AL93" s="287">
        <f>AL94+AL95+AL96+AL100+AL102+AL108</f>
        <v>0</v>
      </c>
      <c r="AM93" s="287">
        <f>AM94+AM95+AM96+AM100+AM102+AM108</f>
        <v>0</v>
      </c>
      <c r="AN93" s="295" t="e">
        <f t="shared" si="63"/>
        <v>#DIV/0!</v>
      </c>
      <c r="AO93" s="287">
        <f>AO94+AO95+AO96+AO100+AO102+AO108</f>
        <v>0</v>
      </c>
      <c r="AP93" s="287">
        <f>AP94+AP95+AP96+AP100+AP102+AP108</f>
        <v>0</v>
      </c>
      <c r="AQ93" s="292" t="e">
        <f t="shared" si="49"/>
        <v>#DIV/0!</v>
      </c>
      <c r="AR93" s="287"/>
      <c r="AS93" s="287"/>
      <c r="AT93" s="295" t="e">
        <f t="shared" si="64"/>
        <v>#DIV/0!</v>
      </c>
      <c r="AU93" s="287"/>
      <c r="AV93" s="287"/>
      <c r="AW93" s="295" t="e">
        <f t="shared" si="65"/>
        <v>#DIV/0!</v>
      </c>
      <c r="AX93" s="287">
        <f>AX94+AX95+AX96+AX100+AX102+AX108</f>
        <v>0</v>
      </c>
      <c r="AY93" s="288">
        <f>AY94+AY95+AY96+AY100+AY102+AY108</f>
        <v>0</v>
      </c>
      <c r="AZ93" s="294" t="e">
        <f t="shared" si="66"/>
        <v>#DIV/0!</v>
      </c>
      <c r="BA93" s="287">
        <f>BA94+BA95+BA96+BA100+BA102+BA108</f>
        <v>0</v>
      </c>
      <c r="BB93" s="287">
        <f>BB94+BB95+BB96+BB100+BB102+BB108</f>
        <v>0</v>
      </c>
      <c r="BC93" s="292" t="e">
        <f t="shared" si="50"/>
        <v>#DIV/0!</v>
      </c>
      <c r="BD93" s="288">
        <f>BD94+BD95+BD96+BD100+BD102+BD108</f>
        <v>694800</v>
      </c>
      <c r="BE93" s="296">
        <f t="shared" si="67"/>
        <v>0.3062141912736889</v>
      </c>
      <c r="BF93" s="297">
        <f t="shared" si="72"/>
        <v>1574200</v>
      </c>
    </row>
    <row r="94" spans="1:58" ht="13.5" thickBot="1">
      <c r="A94" s="286">
        <v>2</v>
      </c>
      <c r="B94" s="231">
        <v>2</v>
      </c>
      <c r="C94" s="231">
        <v>8</v>
      </c>
      <c r="D94" s="231">
        <v>1</v>
      </c>
      <c r="E94" s="401"/>
      <c r="F94" s="155" t="s">
        <v>93</v>
      </c>
      <c r="G94" s="287">
        <v>150000</v>
      </c>
      <c r="H94" s="287"/>
      <c r="I94" s="288"/>
      <c r="J94" s="289" t="e">
        <f t="shared" si="55"/>
        <v>#DIV/0!</v>
      </c>
      <c r="K94" s="290"/>
      <c r="L94" s="287"/>
      <c r="M94" s="291" t="e">
        <f t="shared" si="56"/>
        <v>#DIV/0!</v>
      </c>
      <c r="N94" s="287"/>
      <c r="O94" s="287"/>
      <c r="P94" s="291" t="e">
        <f t="shared" si="57"/>
        <v>#DIV/0!</v>
      </c>
      <c r="Q94" s="280">
        <f>N94+K94+H94</f>
        <v>0</v>
      </c>
      <c r="R94" s="280">
        <f>O94+L94+I94</f>
        <v>0</v>
      </c>
      <c r="S94" s="292" t="e">
        <f t="shared" si="73"/>
        <v>#DIV/0!</v>
      </c>
      <c r="T94" s="287"/>
      <c r="U94" s="288"/>
      <c r="V94" s="291" t="e">
        <f t="shared" si="58"/>
        <v>#DIV/0!</v>
      </c>
      <c r="W94" s="287"/>
      <c r="X94" s="288"/>
      <c r="Y94" s="291" t="e">
        <f t="shared" si="59"/>
        <v>#DIV/0!</v>
      </c>
      <c r="Z94" s="287"/>
      <c r="AA94" s="288"/>
      <c r="AB94" s="291" t="e">
        <f t="shared" si="60"/>
        <v>#DIV/0!</v>
      </c>
      <c r="AC94" s="280">
        <f>Z94+W94+T94</f>
        <v>0</v>
      </c>
      <c r="AD94" s="280">
        <f>AA94+X94+U94</f>
        <v>0</v>
      </c>
      <c r="AE94" s="292" t="e">
        <f t="shared" si="38"/>
        <v>#DIV/0!</v>
      </c>
      <c r="AF94" s="287"/>
      <c r="AG94" s="288"/>
      <c r="AH94" s="293" t="e">
        <f t="shared" si="61"/>
        <v>#DIV/0!</v>
      </c>
      <c r="AI94" s="287"/>
      <c r="AJ94" s="288"/>
      <c r="AK94" s="294" t="e">
        <f t="shared" si="62"/>
        <v>#DIV/0!</v>
      </c>
      <c r="AL94" s="155"/>
      <c r="AM94" s="155"/>
      <c r="AN94" s="295" t="e">
        <f t="shared" si="63"/>
        <v>#DIV/0!</v>
      </c>
      <c r="AO94" s="300">
        <f>AL94+AI94+AF94</f>
        <v>0</v>
      </c>
      <c r="AP94" s="300">
        <f>AM94+AJ94+AG94</f>
        <v>0</v>
      </c>
      <c r="AQ94" s="292" t="e">
        <f t="shared" si="49"/>
        <v>#DIV/0!</v>
      </c>
      <c r="AR94" s="287"/>
      <c r="AS94" s="287"/>
      <c r="AT94" s="295" t="e">
        <f t="shared" si="64"/>
        <v>#DIV/0!</v>
      </c>
      <c r="AU94" s="287"/>
      <c r="AV94" s="287"/>
      <c r="AW94" s="295" t="e">
        <f t="shared" si="65"/>
        <v>#DIV/0!</v>
      </c>
      <c r="AX94" s="287"/>
      <c r="AY94" s="288"/>
      <c r="AZ94" s="294" t="e">
        <f t="shared" si="66"/>
        <v>#DIV/0!</v>
      </c>
      <c r="BA94" s="280">
        <f>AX94+AU94+AR94</f>
        <v>0</v>
      </c>
      <c r="BB94" s="280">
        <f>AY94+AV94+AS94</f>
        <v>0</v>
      </c>
      <c r="BC94" s="292" t="e">
        <f t="shared" si="50"/>
        <v>#DIV/0!</v>
      </c>
      <c r="BD94" s="304">
        <f>I94+L94+O94+U94+X94+AA94+AG94+AJ94+AM94+AS94+AV94+AY94</f>
        <v>0</v>
      </c>
      <c r="BE94" s="296">
        <f t="shared" si="67"/>
        <v>0</v>
      </c>
      <c r="BF94" s="308">
        <f t="shared" si="72"/>
        <v>150000</v>
      </c>
    </row>
    <row r="95" spans="1:58" ht="13.5" thickBot="1">
      <c r="A95" s="286">
        <v>2</v>
      </c>
      <c r="B95" s="231">
        <v>2</v>
      </c>
      <c r="C95" s="231">
        <v>8</v>
      </c>
      <c r="D95" s="231">
        <v>2</v>
      </c>
      <c r="E95" s="401"/>
      <c r="F95" s="155" t="s">
        <v>94</v>
      </c>
      <c r="G95" s="287">
        <v>250000</v>
      </c>
      <c r="H95" s="287"/>
      <c r="I95" s="288"/>
      <c r="J95" s="289" t="e">
        <f t="shared" si="55"/>
        <v>#DIV/0!</v>
      </c>
      <c r="K95" s="290"/>
      <c r="L95" s="287"/>
      <c r="M95" s="291" t="e">
        <f t="shared" si="56"/>
        <v>#DIV/0!</v>
      </c>
      <c r="N95" s="287"/>
      <c r="O95" s="287"/>
      <c r="P95" s="291" t="e">
        <f t="shared" si="57"/>
        <v>#DIV/0!</v>
      </c>
      <c r="Q95" s="280">
        <f>N95+K95+H95</f>
        <v>0</v>
      </c>
      <c r="R95" s="280">
        <f>O95+L95+I95</f>
        <v>0</v>
      </c>
      <c r="S95" s="292" t="e">
        <f t="shared" si="73"/>
        <v>#DIV/0!</v>
      </c>
      <c r="T95" s="287"/>
      <c r="U95" s="288"/>
      <c r="V95" s="291" t="e">
        <f t="shared" si="58"/>
        <v>#DIV/0!</v>
      </c>
      <c r="W95" s="287"/>
      <c r="X95" s="288"/>
      <c r="Y95" s="291" t="e">
        <f t="shared" si="59"/>
        <v>#DIV/0!</v>
      </c>
      <c r="Z95" s="287"/>
      <c r="AA95" s="288"/>
      <c r="AB95" s="291" t="e">
        <f t="shared" si="60"/>
        <v>#DIV/0!</v>
      </c>
      <c r="AC95" s="280">
        <f>Z95+W95+T95</f>
        <v>0</v>
      </c>
      <c r="AD95" s="280">
        <f>AA95+X95+U95</f>
        <v>0</v>
      </c>
      <c r="AE95" s="292" t="e">
        <f t="shared" si="38"/>
        <v>#DIV/0!</v>
      </c>
      <c r="AF95" s="287"/>
      <c r="AG95" s="288"/>
      <c r="AH95" s="293" t="e">
        <f t="shared" si="61"/>
        <v>#DIV/0!</v>
      </c>
      <c r="AI95" s="287"/>
      <c r="AJ95" s="288"/>
      <c r="AK95" s="294" t="e">
        <f t="shared" si="62"/>
        <v>#DIV/0!</v>
      </c>
      <c r="AL95" s="155"/>
      <c r="AM95" s="155"/>
      <c r="AN95" s="295" t="e">
        <f t="shared" si="63"/>
        <v>#DIV/0!</v>
      </c>
      <c r="AO95" s="300">
        <f>AL95+AI95+AF95</f>
        <v>0</v>
      </c>
      <c r="AP95" s="300">
        <f>AM95+AJ95+AG95</f>
        <v>0</v>
      </c>
      <c r="AQ95" s="292" t="e">
        <f t="shared" si="49"/>
        <v>#DIV/0!</v>
      </c>
      <c r="AR95" s="287"/>
      <c r="AS95" s="287"/>
      <c r="AT95" s="295" t="e">
        <f t="shared" si="64"/>
        <v>#DIV/0!</v>
      </c>
      <c r="AU95" s="287"/>
      <c r="AV95" s="287"/>
      <c r="AW95" s="295" t="e">
        <f t="shared" si="65"/>
        <v>#DIV/0!</v>
      </c>
      <c r="AX95" s="287"/>
      <c r="AY95" s="288"/>
      <c r="AZ95" s="294" t="e">
        <f t="shared" si="66"/>
        <v>#DIV/0!</v>
      </c>
      <c r="BA95" s="280">
        <f>AX95+AU95+AR95</f>
        <v>0</v>
      </c>
      <c r="BB95" s="280">
        <f>AY95+AV95+AS95</f>
        <v>0</v>
      </c>
      <c r="BC95" s="292" t="e">
        <f t="shared" si="50"/>
        <v>#DIV/0!</v>
      </c>
      <c r="BD95" s="304">
        <f>I95+L95+O95+U95+X95+AA95+AG95+AJ95+AM95+AS95+AV95+AY95</f>
        <v>0</v>
      </c>
      <c r="BE95" s="296">
        <f t="shared" si="67"/>
        <v>0</v>
      </c>
      <c r="BF95" s="297">
        <f t="shared" si="72"/>
        <v>250000</v>
      </c>
    </row>
    <row r="96" spans="1:58" ht="13.5" thickBot="1">
      <c r="A96" s="286">
        <v>2</v>
      </c>
      <c r="B96" s="231">
        <v>2</v>
      </c>
      <c r="C96" s="231">
        <v>8</v>
      </c>
      <c r="D96" s="231">
        <v>5</v>
      </c>
      <c r="E96" s="401"/>
      <c r="F96" s="155" t="s">
        <v>95</v>
      </c>
      <c r="G96" s="287">
        <f>G97+G98+G99</f>
        <v>25000</v>
      </c>
      <c r="H96" s="287">
        <f>H97+H98+H99</f>
        <v>0</v>
      </c>
      <c r="I96" s="288">
        <f>I97+I98+I99</f>
        <v>0</v>
      </c>
      <c r="J96" s="289" t="e">
        <f t="shared" si="55"/>
        <v>#DIV/0!</v>
      </c>
      <c r="K96" s="290">
        <f>K97+K98+K99</f>
        <v>0</v>
      </c>
      <c r="L96" s="287">
        <f>L97+L98+L99</f>
        <v>0</v>
      </c>
      <c r="M96" s="291" t="e">
        <f t="shared" si="56"/>
        <v>#DIV/0!</v>
      </c>
      <c r="N96" s="287">
        <f>N97+N98+N99</f>
        <v>0</v>
      </c>
      <c r="O96" s="287">
        <f>O97+O98+O99</f>
        <v>0</v>
      </c>
      <c r="P96" s="291" t="e">
        <f t="shared" si="57"/>
        <v>#DIV/0!</v>
      </c>
      <c r="Q96" s="287">
        <f>Q97+Q98+Q99</f>
        <v>0</v>
      </c>
      <c r="R96" s="287">
        <f>R97+R98+R99</f>
        <v>0</v>
      </c>
      <c r="S96" s="292" t="e">
        <f t="shared" si="73"/>
        <v>#DIV/0!</v>
      </c>
      <c r="T96" s="287">
        <f>T97+T98+T99</f>
        <v>0</v>
      </c>
      <c r="U96" s="288">
        <f>U97+U98+U99</f>
        <v>0</v>
      </c>
      <c r="V96" s="291" t="e">
        <f t="shared" si="58"/>
        <v>#DIV/0!</v>
      </c>
      <c r="W96" s="287">
        <f>W97+W98+W99</f>
        <v>0</v>
      </c>
      <c r="X96" s="288">
        <f>X97+X98+X99</f>
        <v>0</v>
      </c>
      <c r="Y96" s="291" t="e">
        <f t="shared" si="59"/>
        <v>#DIV/0!</v>
      </c>
      <c r="Z96" s="287">
        <f>Z97+Z98+Z99</f>
        <v>0</v>
      </c>
      <c r="AA96" s="288">
        <f>AA97+AA98+AA99</f>
        <v>0</v>
      </c>
      <c r="AB96" s="291" t="e">
        <f t="shared" si="60"/>
        <v>#DIV/0!</v>
      </c>
      <c r="AC96" s="287">
        <f>AC97+AC98+AC99</f>
        <v>0</v>
      </c>
      <c r="AD96" s="287">
        <f>AD97+AD98+AD99</f>
        <v>0</v>
      </c>
      <c r="AE96" s="292" t="e">
        <f t="shared" si="38"/>
        <v>#DIV/0!</v>
      </c>
      <c r="AF96" s="287">
        <f>AF97+AF98+AF99</f>
        <v>0</v>
      </c>
      <c r="AG96" s="288">
        <f>AG97+AG98+AG99</f>
        <v>0</v>
      </c>
      <c r="AH96" s="293" t="e">
        <f t="shared" si="61"/>
        <v>#DIV/0!</v>
      </c>
      <c r="AI96" s="287">
        <f>AI97+AI98+AI99</f>
        <v>0</v>
      </c>
      <c r="AJ96" s="288">
        <f>AJ97+AJ98+AJ99</f>
        <v>0</v>
      </c>
      <c r="AK96" s="294" t="e">
        <f t="shared" si="62"/>
        <v>#DIV/0!</v>
      </c>
      <c r="AL96" s="287">
        <f>AL97+AL98+AL99</f>
        <v>0</v>
      </c>
      <c r="AM96" s="287">
        <f>AM97+AM98+AM99</f>
        <v>0</v>
      </c>
      <c r="AN96" s="295" t="e">
        <f t="shared" si="63"/>
        <v>#DIV/0!</v>
      </c>
      <c r="AO96" s="287">
        <f>AO97+AO98+AO99</f>
        <v>0</v>
      </c>
      <c r="AP96" s="287">
        <f>AP97+AP98+AP99</f>
        <v>0</v>
      </c>
      <c r="AQ96" s="292" t="e">
        <f t="shared" si="49"/>
        <v>#DIV/0!</v>
      </c>
      <c r="AR96" s="287"/>
      <c r="AS96" s="287"/>
      <c r="AT96" s="295" t="e">
        <f t="shared" si="64"/>
        <v>#DIV/0!</v>
      </c>
      <c r="AU96" s="287"/>
      <c r="AV96" s="287"/>
      <c r="AW96" s="295" t="e">
        <f t="shared" si="65"/>
        <v>#DIV/0!</v>
      </c>
      <c r="AX96" s="287">
        <f>AX97+AX98+AX99</f>
        <v>0</v>
      </c>
      <c r="AY96" s="288">
        <f>AY97+AY98+AY99</f>
        <v>0</v>
      </c>
      <c r="AZ96" s="294" t="e">
        <f t="shared" si="66"/>
        <v>#DIV/0!</v>
      </c>
      <c r="BA96" s="287">
        <f>BA97+BA98+BA99</f>
        <v>0</v>
      </c>
      <c r="BB96" s="287">
        <f>BB97+BB98+BB99</f>
        <v>0</v>
      </c>
      <c r="BC96" s="292" t="e">
        <f t="shared" si="50"/>
        <v>#DIV/0!</v>
      </c>
      <c r="BD96" s="288">
        <f>BD97+BD98+BD99</f>
        <v>0</v>
      </c>
      <c r="BE96" s="296">
        <f t="shared" si="67"/>
        <v>0</v>
      </c>
      <c r="BF96" s="297">
        <f t="shared" si="72"/>
        <v>25000</v>
      </c>
    </row>
    <row r="97" spans="1:58" ht="13.5" thickBot="1">
      <c r="A97" s="298">
        <v>2</v>
      </c>
      <c r="B97" s="299">
        <v>2</v>
      </c>
      <c r="C97" s="299">
        <v>8</v>
      </c>
      <c r="D97" s="299">
        <v>5</v>
      </c>
      <c r="E97" s="402" t="s">
        <v>149</v>
      </c>
      <c r="F97" s="90" t="s">
        <v>96</v>
      </c>
      <c r="G97" s="300">
        <v>6000</v>
      </c>
      <c r="H97" s="300"/>
      <c r="I97" s="304"/>
      <c r="J97" s="289" t="e">
        <f t="shared" si="55"/>
        <v>#DIV/0!</v>
      </c>
      <c r="K97" s="302"/>
      <c r="L97" s="300"/>
      <c r="M97" s="291" t="e">
        <f t="shared" si="56"/>
        <v>#DIV/0!</v>
      </c>
      <c r="N97" s="300"/>
      <c r="O97" s="300"/>
      <c r="P97" s="291" t="e">
        <f t="shared" si="57"/>
        <v>#DIV/0!</v>
      </c>
      <c r="Q97" s="280">
        <f aca="true" t="shared" si="78" ref="Q97:R99">N97+K97+H97</f>
        <v>0</v>
      </c>
      <c r="R97" s="280">
        <f t="shared" si="78"/>
        <v>0</v>
      </c>
      <c r="S97" s="292" t="e">
        <f t="shared" si="73"/>
        <v>#DIV/0!</v>
      </c>
      <c r="T97" s="300"/>
      <c r="U97" s="304"/>
      <c r="V97" s="291" t="e">
        <f t="shared" si="58"/>
        <v>#DIV/0!</v>
      </c>
      <c r="W97" s="300"/>
      <c r="X97" s="304"/>
      <c r="Y97" s="291" t="e">
        <f t="shared" si="59"/>
        <v>#DIV/0!</v>
      </c>
      <c r="Z97" s="300"/>
      <c r="AA97" s="304"/>
      <c r="AB97" s="291" t="e">
        <f t="shared" si="60"/>
        <v>#DIV/0!</v>
      </c>
      <c r="AC97" s="280">
        <f aca="true" t="shared" si="79" ref="AC97:AD99">Z97+W97+T97</f>
        <v>0</v>
      </c>
      <c r="AD97" s="280">
        <f t="shared" si="79"/>
        <v>0</v>
      </c>
      <c r="AE97" s="292" t="e">
        <f t="shared" si="38"/>
        <v>#DIV/0!</v>
      </c>
      <c r="AF97" s="300"/>
      <c r="AG97" s="304"/>
      <c r="AH97" s="293" t="e">
        <f t="shared" si="61"/>
        <v>#DIV/0!</v>
      </c>
      <c r="AI97" s="300"/>
      <c r="AJ97" s="304"/>
      <c r="AK97" s="294" t="e">
        <f t="shared" si="62"/>
        <v>#DIV/0!</v>
      </c>
      <c r="AL97" s="90"/>
      <c r="AM97" s="90"/>
      <c r="AN97" s="295" t="e">
        <f t="shared" si="63"/>
        <v>#DIV/0!</v>
      </c>
      <c r="AO97" s="300">
        <f aca="true" t="shared" si="80" ref="AO97:AP99">AL97+AI97+AF97</f>
        <v>0</v>
      </c>
      <c r="AP97" s="300">
        <f t="shared" si="80"/>
        <v>0</v>
      </c>
      <c r="AQ97" s="292" t="e">
        <f t="shared" si="49"/>
        <v>#DIV/0!</v>
      </c>
      <c r="AR97" s="300"/>
      <c r="AS97" s="300"/>
      <c r="AT97" s="295" t="e">
        <f t="shared" si="64"/>
        <v>#DIV/0!</v>
      </c>
      <c r="AU97" s="300"/>
      <c r="AV97" s="300"/>
      <c r="AW97" s="295" t="e">
        <f t="shared" si="65"/>
        <v>#DIV/0!</v>
      </c>
      <c r="AX97" s="300"/>
      <c r="AY97" s="304"/>
      <c r="AZ97" s="294" t="e">
        <f t="shared" si="66"/>
        <v>#DIV/0!</v>
      </c>
      <c r="BA97" s="280">
        <f aca="true" t="shared" si="81" ref="BA97:BB99">AX97+AU97+AR97</f>
        <v>0</v>
      </c>
      <c r="BB97" s="280">
        <f t="shared" si="81"/>
        <v>0</v>
      </c>
      <c r="BC97" s="292" t="e">
        <f t="shared" si="50"/>
        <v>#DIV/0!</v>
      </c>
      <c r="BD97" s="304">
        <f>I97+L97+O97+U97+X97+AA97+AG97+AJ97+AM97+AS97+AV97+AY97</f>
        <v>0</v>
      </c>
      <c r="BE97" s="296">
        <f t="shared" si="67"/>
        <v>0</v>
      </c>
      <c r="BF97" s="308">
        <f t="shared" si="72"/>
        <v>6000</v>
      </c>
    </row>
    <row r="98" spans="1:58" ht="19.5" thickBot="1">
      <c r="A98" s="298">
        <v>2</v>
      </c>
      <c r="B98" s="299">
        <v>2</v>
      </c>
      <c r="C98" s="299">
        <v>8</v>
      </c>
      <c r="D98" s="299">
        <v>5</v>
      </c>
      <c r="E98" s="402" t="s">
        <v>150</v>
      </c>
      <c r="F98" s="90" t="s">
        <v>129</v>
      </c>
      <c r="G98" s="300">
        <v>4000</v>
      </c>
      <c r="H98" s="300"/>
      <c r="I98" s="304"/>
      <c r="J98" s="289" t="e">
        <f t="shared" si="55"/>
        <v>#DIV/0!</v>
      </c>
      <c r="K98" s="302"/>
      <c r="L98" s="300"/>
      <c r="M98" s="291" t="e">
        <f t="shared" si="56"/>
        <v>#DIV/0!</v>
      </c>
      <c r="N98" s="300"/>
      <c r="O98" s="300"/>
      <c r="P98" s="291" t="e">
        <f t="shared" si="57"/>
        <v>#DIV/0!</v>
      </c>
      <c r="Q98" s="280">
        <f t="shared" si="78"/>
        <v>0</v>
      </c>
      <c r="R98" s="280">
        <f t="shared" si="78"/>
        <v>0</v>
      </c>
      <c r="S98" s="292" t="e">
        <f t="shared" si="73"/>
        <v>#DIV/0!</v>
      </c>
      <c r="T98" s="300"/>
      <c r="U98" s="304"/>
      <c r="V98" s="291" t="e">
        <f t="shared" si="58"/>
        <v>#DIV/0!</v>
      </c>
      <c r="W98" s="300"/>
      <c r="X98" s="304"/>
      <c r="Y98" s="291" t="e">
        <f t="shared" si="59"/>
        <v>#DIV/0!</v>
      </c>
      <c r="Z98" s="300"/>
      <c r="AA98" s="304"/>
      <c r="AB98" s="291" t="e">
        <f t="shared" si="60"/>
        <v>#DIV/0!</v>
      </c>
      <c r="AC98" s="280">
        <f t="shared" si="79"/>
        <v>0</v>
      </c>
      <c r="AD98" s="280">
        <f t="shared" si="79"/>
        <v>0</v>
      </c>
      <c r="AE98" s="292" t="e">
        <f t="shared" si="38"/>
        <v>#DIV/0!</v>
      </c>
      <c r="AF98" s="300"/>
      <c r="AG98" s="304"/>
      <c r="AH98" s="293" t="e">
        <f t="shared" si="61"/>
        <v>#DIV/0!</v>
      </c>
      <c r="AI98" s="300"/>
      <c r="AJ98" s="304"/>
      <c r="AK98" s="294" t="e">
        <f t="shared" si="62"/>
        <v>#DIV/0!</v>
      </c>
      <c r="AL98" s="90"/>
      <c r="AM98" s="90"/>
      <c r="AN98" s="295" t="e">
        <f t="shared" si="63"/>
        <v>#DIV/0!</v>
      </c>
      <c r="AO98" s="300">
        <f t="shared" si="80"/>
        <v>0</v>
      </c>
      <c r="AP98" s="300">
        <f t="shared" si="80"/>
        <v>0</v>
      </c>
      <c r="AQ98" s="292" t="e">
        <f t="shared" si="49"/>
        <v>#DIV/0!</v>
      </c>
      <c r="AR98" s="300"/>
      <c r="AS98" s="300"/>
      <c r="AT98" s="295" t="e">
        <f t="shared" si="64"/>
        <v>#DIV/0!</v>
      </c>
      <c r="AU98" s="300"/>
      <c r="AV98" s="300"/>
      <c r="AW98" s="295" t="e">
        <f t="shared" si="65"/>
        <v>#DIV/0!</v>
      </c>
      <c r="AX98" s="300"/>
      <c r="AY98" s="304"/>
      <c r="AZ98" s="294" t="e">
        <f t="shared" si="66"/>
        <v>#DIV/0!</v>
      </c>
      <c r="BA98" s="280">
        <f t="shared" si="81"/>
        <v>0</v>
      </c>
      <c r="BB98" s="280">
        <f t="shared" si="81"/>
        <v>0</v>
      </c>
      <c r="BC98" s="292" t="e">
        <f t="shared" si="50"/>
        <v>#DIV/0!</v>
      </c>
      <c r="BD98" s="304">
        <f>I98+L98+O98+U98+X98+AA98+AG98+AJ98+AM98+AS98+AV98+AY98</f>
        <v>0</v>
      </c>
      <c r="BE98" s="296">
        <f t="shared" si="67"/>
        <v>0</v>
      </c>
      <c r="BF98" s="308">
        <f t="shared" si="72"/>
        <v>4000</v>
      </c>
    </row>
    <row r="99" spans="1:58" ht="19.5" thickBot="1">
      <c r="A99" s="298">
        <v>2</v>
      </c>
      <c r="B99" s="299">
        <v>2</v>
      </c>
      <c r="C99" s="299">
        <v>8</v>
      </c>
      <c r="D99" s="299">
        <v>5</v>
      </c>
      <c r="E99" s="402" t="s">
        <v>151</v>
      </c>
      <c r="F99" s="90" t="s">
        <v>39</v>
      </c>
      <c r="G99" s="300">
        <v>15000</v>
      </c>
      <c r="H99" s="300"/>
      <c r="I99" s="304"/>
      <c r="J99" s="289" t="e">
        <f t="shared" si="55"/>
        <v>#DIV/0!</v>
      </c>
      <c r="K99" s="302"/>
      <c r="L99" s="300"/>
      <c r="M99" s="291" t="e">
        <f t="shared" si="56"/>
        <v>#DIV/0!</v>
      </c>
      <c r="N99" s="300"/>
      <c r="O99" s="300"/>
      <c r="P99" s="291" t="e">
        <f t="shared" si="57"/>
        <v>#DIV/0!</v>
      </c>
      <c r="Q99" s="280">
        <f t="shared" si="78"/>
        <v>0</v>
      </c>
      <c r="R99" s="280">
        <f t="shared" si="78"/>
        <v>0</v>
      </c>
      <c r="S99" s="292" t="e">
        <f t="shared" si="73"/>
        <v>#DIV/0!</v>
      </c>
      <c r="T99" s="300"/>
      <c r="U99" s="304"/>
      <c r="V99" s="291" t="e">
        <f t="shared" si="58"/>
        <v>#DIV/0!</v>
      </c>
      <c r="W99" s="300"/>
      <c r="X99" s="304"/>
      <c r="Y99" s="291" t="e">
        <f t="shared" si="59"/>
        <v>#DIV/0!</v>
      </c>
      <c r="Z99" s="300"/>
      <c r="AA99" s="304"/>
      <c r="AB99" s="291" t="e">
        <f t="shared" si="60"/>
        <v>#DIV/0!</v>
      </c>
      <c r="AC99" s="280">
        <f t="shared" si="79"/>
        <v>0</v>
      </c>
      <c r="AD99" s="280">
        <f t="shared" si="79"/>
        <v>0</v>
      </c>
      <c r="AE99" s="292" t="e">
        <f t="shared" si="38"/>
        <v>#DIV/0!</v>
      </c>
      <c r="AF99" s="300"/>
      <c r="AG99" s="304"/>
      <c r="AH99" s="293" t="e">
        <f t="shared" si="61"/>
        <v>#DIV/0!</v>
      </c>
      <c r="AI99" s="300"/>
      <c r="AJ99" s="304"/>
      <c r="AK99" s="294" t="e">
        <f t="shared" si="62"/>
        <v>#DIV/0!</v>
      </c>
      <c r="AL99" s="90"/>
      <c r="AM99" s="90"/>
      <c r="AN99" s="295" t="e">
        <f t="shared" si="63"/>
        <v>#DIV/0!</v>
      </c>
      <c r="AO99" s="300">
        <f t="shared" si="80"/>
        <v>0</v>
      </c>
      <c r="AP99" s="300">
        <f t="shared" si="80"/>
        <v>0</v>
      </c>
      <c r="AQ99" s="292" t="e">
        <f t="shared" si="49"/>
        <v>#DIV/0!</v>
      </c>
      <c r="AR99" s="300"/>
      <c r="AS99" s="300"/>
      <c r="AT99" s="295" t="e">
        <f t="shared" si="64"/>
        <v>#DIV/0!</v>
      </c>
      <c r="AU99" s="300"/>
      <c r="AV99" s="300"/>
      <c r="AW99" s="295" t="e">
        <f t="shared" si="65"/>
        <v>#DIV/0!</v>
      </c>
      <c r="AX99" s="300"/>
      <c r="AY99" s="304"/>
      <c r="AZ99" s="294" t="e">
        <f t="shared" si="66"/>
        <v>#DIV/0!</v>
      </c>
      <c r="BA99" s="280">
        <f t="shared" si="81"/>
        <v>0</v>
      </c>
      <c r="BB99" s="280">
        <f t="shared" si="81"/>
        <v>0</v>
      </c>
      <c r="BC99" s="292" t="e">
        <f t="shared" si="50"/>
        <v>#DIV/0!</v>
      </c>
      <c r="BD99" s="304">
        <f>I99+L99+O99+U99+X99+AA99+AG99+AJ99+AM99+AS99+AV99+AY99</f>
        <v>0</v>
      </c>
      <c r="BE99" s="296">
        <f t="shared" si="67"/>
        <v>0</v>
      </c>
      <c r="BF99" s="308">
        <f t="shared" si="72"/>
        <v>15000</v>
      </c>
    </row>
    <row r="100" spans="1:58" ht="13.5" thickBot="1">
      <c r="A100" s="286">
        <v>2</v>
      </c>
      <c r="B100" s="231">
        <v>2</v>
      </c>
      <c r="C100" s="231">
        <v>8</v>
      </c>
      <c r="D100" s="231">
        <v>6</v>
      </c>
      <c r="E100" s="401"/>
      <c r="F100" s="155" t="s">
        <v>40</v>
      </c>
      <c r="G100" s="287">
        <f>G101</f>
        <v>300000</v>
      </c>
      <c r="H100" s="287">
        <f>H101</f>
        <v>0</v>
      </c>
      <c r="I100" s="288">
        <f>I101</f>
        <v>0</v>
      </c>
      <c r="J100" s="289" t="e">
        <f t="shared" si="55"/>
        <v>#DIV/0!</v>
      </c>
      <c r="K100" s="290">
        <f>K101</f>
        <v>0</v>
      </c>
      <c r="L100" s="287">
        <f>L101</f>
        <v>0</v>
      </c>
      <c r="M100" s="291" t="e">
        <f t="shared" si="56"/>
        <v>#DIV/0!</v>
      </c>
      <c r="N100" s="287">
        <f>N101</f>
        <v>0</v>
      </c>
      <c r="O100" s="287">
        <f>O101</f>
        <v>0</v>
      </c>
      <c r="P100" s="291" t="e">
        <f t="shared" si="57"/>
        <v>#DIV/0!</v>
      </c>
      <c r="Q100" s="287">
        <f>Q101</f>
        <v>0</v>
      </c>
      <c r="R100" s="287">
        <f>R101</f>
        <v>0</v>
      </c>
      <c r="S100" s="292" t="e">
        <f t="shared" si="73"/>
        <v>#DIV/0!</v>
      </c>
      <c r="T100" s="287">
        <f>T101</f>
        <v>0</v>
      </c>
      <c r="U100" s="288">
        <f>U101</f>
        <v>0</v>
      </c>
      <c r="V100" s="291" t="e">
        <f t="shared" si="58"/>
        <v>#DIV/0!</v>
      </c>
      <c r="W100" s="287">
        <f>W101</f>
        <v>0</v>
      </c>
      <c r="X100" s="288">
        <f>X101</f>
        <v>0</v>
      </c>
      <c r="Y100" s="291" t="e">
        <f t="shared" si="59"/>
        <v>#DIV/0!</v>
      </c>
      <c r="Z100" s="287">
        <f>Z101</f>
        <v>0</v>
      </c>
      <c r="AA100" s="288">
        <f>AA101</f>
        <v>0</v>
      </c>
      <c r="AB100" s="291" t="e">
        <f t="shared" si="60"/>
        <v>#DIV/0!</v>
      </c>
      <c r="AC100" s="287">
        <f>AC101</f>
        <v>0</v>
      </c>
      <c r="AD100" s="287">
        <f>AD101</f>
        <v>0</v>
      </c>
      <c r="AE100" s="292" t="e">
        <f t="shared" si="38"/>
        <v>#DIV/0!</v>
      </c>
      <c r="AF100" s="287">
        <f>AF101</f>
        <v>0</v>
      </c>
      <c r="AG100" s="288">
        <f>AG101</f>
        <v>0</v>
      </c>
      <c r="AH100" s="293" t="e">
        <f t="shared" si="61"/>
        <v>#DIV/0!</v>
      </c>
      <c r="AI100" s="287">
        <f>AI101</f>
        <v>0</v>
      </c>
      <c r="AJ100" s="288">
        <f>AJ101</f>
        <v>0</v>
      </c>
      <c r="AK100" s="294" t="e">
        <f t="shared" si="62"/>
        <v>#DIV/0!</v>
      </c>
      <c r="AL100" s="287">
        <f>AL101</f>
        <v>0</v>
      </c>
      <c r="AM100" s="287">
        <f>AM101</f>
        <v>0</v>
      </c>
      <c r="AN100" s="295" t="e">
        <f t="shared" si="63"/>
        <v>#DIV/0!</v>
      </c>
      <c r="AO100" s="287">
        <f>AO101</f>
        <v>0</v>
      </c>
      <c r="AP100" s="287">
        <f>AP101</f>
        <v>0</v>
      </c>
      <c r="AQ100" s="292" t="e">
        <f t="shared" si="49"/>
        <v>#DIV/0!</v>
      </c>
      <c r="AR100" s="287"/>
      <c r="AS100" s="287"/>
      <c r="AT100" s="295" t="e">
        <f t="shared" si="64"/>
        <v>#DIV/0!</v>
      </c>
      <c r="AU100" s="287"/>
      <c r="AV100" s="287"/>
      <c r="AW100" s="295" t="e">
        <f t="shared" si="65"/>
        <v>#DIV/0!</v>
      </c>
      <c r="AX100" s="287">
        <f>AX101</f>
        <v>0</v>
      </c>
      <c r="AY100" s="288">
        <f>AY101</f>
        <v>0</v>
      </c>
      <c r="AZ100" s="294" t="e">
        <f t="shared" si="66"/>
        <v>#DIV/0!</v>
      </c>
      <c r="BA100" s="287">
        <f>BA101</f>
        <v>0</v>
      </c>
      <c r="BB100" s="287">
        <f>BB101</f>
        <v>0</v>
      </c>
      <c r="BC100" s="292" t="e">
        <f t="shared" si="50"/>
        <v>#DIV/0!</v>
      </c>
      <c r="BD100" s="288">
        <f>BD101</f>
        <v>0</v>
      </c>
      <c r="BE100" s="296">
        <f t="shared" si="67"/>
        <v>0</v>
      </c>
      <c r="BF100" s="297">
        <f t="shared" si="72"/>
        <v>300000</v>
      </c>
    </row>
    <row r="101" spans="1:58" ht="13.5" thickBot="1">
      <c r="A101" s="298">
        <v>2</v>
      </c>
      <c r="B101" s="299">
        <v>2</v>
      </c>
      <c r="C101" s="299">
        <v>8</v>
      </c>
      <c r="D101" s="299">
        <v>6</v>
      </c>
      <c r="E101" s="402" t="s">
        <v>149</v>
      </c>
      <c r="F101" s="90" t="s">
        <v>16</v>
      </c>
      <c r="G101" s="300">
        <v>300000</v>
      </c>
      <c r="H101" s="300"/>
      <c r="I101" s="304"/>
      <c r="J101" s="289" t="e">
        <f t="shared" si="55"/>
        <v>#DIV/0!</v>
      </c>
      <c r="K101" s="302"/>
      <c r="L101" s="300"/>
      <c r="M101" s="291" t="e">
        <f t="shared" si="56"/>
        <v>#DIV/0!</v>
      </c>
      <c r="N101" s="300"/>
      <c r="O101" s="300"/>
      <c r="P101" s="291" t="e">
        <f t="shared" si="57"/>
        <v>#DIV/0!</v>
      </c>
      <c r="Q101" s="280">
        <f>N101+K101+H101</f>
        <v>0</v>
      </c>
      <c r="R101" s="280">
        <f>O101+L101+I101</f>
        <v>0</v>
      </c>
      <c r="S101" s="292" t="e">
        <f t="shared" si="73"/>
        <v>#DIV/0!</v>
      </c>
      <c r="T101" s="300"/>
      <c r="U101" s="304"/>
      <c r="V101" s="291" t="e">
        <f t="shared" si="58"/>
        <v>#DIV/0!</v>
      </c>
      <c r="W101" s="300"/>
      <c r="X101" s="304"/>
      <c r="Y101" s="291" t="e">
        <f t="shared" si="59"/>
        <v>#DIV/0!</v>
      </c>
      <c r="Z101" s="300"/>
      <c r="AA101" s="304"/>
      <c r="AB101" s="291" t="e">
        <f t="shared" si="60"/>
        <v>#DIV/0!</v>
      </c>
      <c r="AC101" s="280">
        <f>Z101+W101+T101</f>
        <v>0</v>
      </c>
      <c r="AD101" s="280">
        <f>AA101+X101+U101</f>
        <v>0</v>
      </c>
      <c r="AE101" s="292" t="e">
        <f t="shared" si="38"/>
        <v>#DIV/0!</v>
      </c>
      <c r="AF101" s="300"/>
      <c r="AG101" s="304"/>
      <c r="AH101" s="293" t="e">
        <f t="shared" si="61"/>
        <v>#DIV/0!</v>
      </c>
      <c r="AI101" s="300"/>
      <c r="AJ101" s="304"/>
      <c r="AK101" s="294" t="e">
        <f t="shared" si="62"/>
        <v>#DIV/0!</v>
      </c>
      <c r="AL101" s="90"/>
      <c r="AM101" s="90"/>
      <c r="AN101" s="295" t="e">
        <f t="shared" si="63"/>
        <v>#DIV/0!</v>
      </c>
      <c r="AO101" s="300">
        <f>AL101+AI101+AF101</f>
        <v>0</v>
      </c>
      <c r="AP101" s="300">
        <f>AM101+AJ101+AG101</f>
        <v>0</v>
      </c>
      <c r="AQ101" s="292" t="e">
        <f t="shared" si="49"/>
        <v>#DIV/0!</v>
      </c>
      <c r="AR101" s="300"/>
      <c r="AS101" s="300"/>
      <c r="AT101" s="295" t="e">
        <f t="shared" si="64"/>
        <v>#DIV/0!</v>
      </c>
      <c r="AU101" s="300"/>
      <c r="AV101" s="300"/>
      <c r="AW101" s="295" t="e">
        <f t="shared" si="65"/>
        <v>#DIV/0!</v>
      </c>
      <c r="AX101" s="300"/>
      <c r="AY101" s="304"/>
      <c r="AZ101" s="294" t="e">
        <f t="shared" si="66"/>
        <v>#DIV/0!</v>
      </c>
      <c r="BA101" s="280">
        <f>AX101+AU101+AR101</f>
        <v>0</v>
      </c>
      <c r="BB101" s="280">
        <f>AY101+AV101+AS101</f>
        <v>0</v>
      </c>
      <c r="BC101" s="292" t="e">
        <f t="shared" si="50"/>
        <v>#DIV/0!</v>
      </c>
      <c r="BD101" s="304">
        <f>I101+L101+O101+U101+X101+AA101+AG101+AJ101+AM101+AS101+AV101+AY101</f>
        <v>0</v>
      </c>
      <c r="BE101" s="296">
        <f t="shared" si="67"/>
        <v>0</v>
      </c>
      <c r="BF101" s="308">
        <f t="shared" si="72"/>
        <v>300000</v>
      </c>
    </row>
    <row r="102" spans="1:58" ht="13.5" thickBot="1">
      <c r="A102" s="286">
        <v>2</v>
      </c>
      <c r="B102" s="231">
        <v>2</v>
      </c>
      <c r="C102" s="231">
        <v>8</v>
      </c>
      <c r="D102" s="231">
        <v>7</v>
      </c>
      <c r="E102" s="401"/>
      <c r="F102" s="155" t="s">
        <v>135</v>
      </c>
      <c r="G102" s="287">
        <f>G103+G104+G105+G106+G107</f>
        <v>1525000</v>
      </c>
      <c r="H102" s="287">
        <f>H103+H104+H105+H106+H107</f>
        <v>0</v>
      </c>
      <c r="I102" s="288">
        <f>I103+I104+I105+I106+I107</f>
        <v>200000</v>
      </c>
      <c r="J102" s="289" t="e">
        <f t="shared" si="55"/>
        <v>#DIV/0!</v>
      </c>
      <c r="K102" s="290">
        <f>K103+K104+K105+K106+K107</f>
        <v>0</v>
      </c>
      <c r="L102" s="287">
        <f>L103+L104+L105+L106+L107</f>
        <v>438200</v>
      </c>
      <c r="M102" s="291" t="e">
        <f t="shared" si="56"/>
        <v>#DIV/0!</v>
      </c>
      <c r="N102" s="287">
        <f>N103+N104+N105+N106+N107</f>
        <v>0</v>
      </c>
      <c r="O102" s="287">
        <f>O103+O104+O105+O106+O107</f>
        <v>56600</v>
      </c>
      <c r="P102" s="291" t="e">
        <f t="shared" si="57"/>
        <v>#DIV/0!</v>
      </c>
      <c r="Q102" s="287">
        <f>Q103+Q104+Q105+Q106+Q107</f>
        <v>0</v>
      </c>
      <c r="R102" s="287">
        <f>R103+R104+R105+R106+R107</f>
        <v>694800</v>
      </c>
      <c r="S102" s="292" t="e">
        <f t="shared" si="73"/>
        <v>#DIV/0!</v>
      </c>
      <c r="T102" s="287">
        <f>T103+T104+T105+T106+T107</f>
        <v>0</v>
      </c>
      <c r="U102" s="288">
        <f>U103+U104+U105+U106+U107</f>
        <v>0</v>
      </c>
      <c r="V102" s="291" t="e">
        <f t="shared" si="58"/>
        <v>#DIV/0!</v>
      </c>
      <c r="W102" s="287">
        <f>W103+W104+W105+W106+W107</f>
        <v>0</v>
      </c>
      <c r="X102" s="288">
        <f>X103+X104+X105+X106+X107</f>
        <v>0</v>
      </c>
      <c r="Y102" s="291" t="e">
        <f t="shared" si="59"/>
        <v>#DIV/0!</v>
      </c>
      <c r="Z102" s="287">
        <f>Z103+Z104+Z105+Z106+Z107</f>
        <v>0</v>
      </c>
      <c r="AA102" s="288">
        <f>AA103+AA104+AA105+AA106+AA107</f>
        <v>0</v>
      </c>
      <c r="AB102" s="291" t="e">
        <f t="shared" si="60"/>
        <v>#DIV/0!</v>
      </c>
      <c r="AC102" s="287">
        <f>AC103+AC104+AC105+AC106+AC107</f>
        <v>0</v>
      </c>
      <c r="AD102" s="287">
        <f>AD103+AD104+AD105+AD106+AD107</f>
        <v>0</v>
      </c>
      <c r="AE102" s="292" t="e">
        <f t="shared" si="38"/>
        <v>#DIV/0!</v>
      </c>
      <c r="AF102" s="287">
        <f>AF103+AF104+AF105+AF106+AF107</f>
        <v>0</v>
      </c>
      <c r="AG102" s="288">
        <f>AG103+AG104+AG105+AG106+AG107</f>
        <v>0</v>
      </c>
      <c r="AH102" s="293" t="e">
        <f t="shared" si="61"/>
        <v>#DIV/0!</v>
      </c>
      <c r="AI102" s="287">
        <f>AI103+AI104+AI105+AI106+AI107</f>
        <v>0</v>
      </c>
      <c r="AJ102" s="288">
        <f>AJ103+AJ104+AJ105+AJ106+AJ107</f>
        <v>0</v>
      </c>
      <c r="AK102" s="294" t="e">
        <f t="shared" si="62"/>
        <v>#DIV/0!</v>
      </c>
      <c r="AL102" s="287">
        <f>AL103+AL104+AL105+AL106+AL107</f>
        <v>0</v>
      </c>
      <c r="AM102" s="287">
        <f>AM103+AM104+AM105+AM106+AM107</f>
        <v>0</v>
      </c>
      <c r="AN102" s="295" t="e">
        <f t="shared" si="63"/>
        <v>#DIV/0!</v>
      </c>
      <c r="AO102" s="287">
        <f>AO103+AO104+AO105+AO106+AO107</f>
        <v>0</v>
      </c>
      <c r="AP102" s="287">
        <f>AP103+AP104+AP105+AP106+AP107</f>
        <v>0</v>
      </c>
      <c r="AQ102" s="292" t="e">
        <f t="shared" si="49"/>
        <v>#DIV/0!</v>
      </c>
      <c r="AR102" s="287"/>
      <c r="AS102" s="287"/>
      <c r="AT102" s="295" t="e">
        <f t="shared" si="64"/>
        <v>#DIV/0!</v>
      </c>
      <c r="AU102" s="287"/>
      <c r="AV102" s="287"/>
      <c r="AW102" s="295" t="e">
        <f t="shared" si="65"/>
        <v>#DIV/0!</v>
      </c>
      <c r="AX102" s="287">
        <f>AX103+AX104+AX105+AX106+AX107</f>
        <v>0</v>
      </c>
      <c r="AY102" s="288">
        <f>AY103+AY104+AY105+AY106+AY107</f>
        <v>0</v>
      </c>
      <c r="AZ102" s="294" t="e">
        <f t="shared" si="66"/>
        <v>#DIV/0!</v>
      </c>
      <c r="BA102" s="287">
        <f>BA103+BA104+BA105+BA106+BA107</f>
        <v>0</v>
      </c>
      <c r="BB102" s="287">
        <f>BB103+BB104+BB105+BB106+BB107</f>
        <v>0</v>
      </c>
      <c r="BC102" s="292" t="e">
        <f t="shared" si="50"/>
        <v>#DIV/0!</v>
      </c>
      <c r="BD102" s="288">
        <f>BD103+BD104+BD105+BD106+BD107</f>
        <v>694800</v>
      </c>
      <c r="BE102" s="296">
        <f t="shared" si="67"/>
        <v>0.4556065573770492</v>
      </c>
      <c r="BF102" s="297">
        <f t="shared" si="72"/>
        <v>830200</v>
      </c>
    </row>
    <row r="103" spans="1:58" ht="23.25" thickBot="1">
      <c r="A103" s="298">
        <v>2</v>
      </c>
      <c r="B103" s="299">
        <v>2</v>
      </c>
      <c r="C103" s="299">
        <v>8</v>
      </c>
      <c r="D103" s="299">
        <v>7</v>
      </c>
      <c r="E103" s="402" t="s">
        <v>149</v>
      </c>
      <c r="F103" s="90" t="s">
        <v>215</v>
      </c>
      <c r="G103" s="300">
        <v>500000</v>
      </c>
      <c r="H103" s="300"/>
      <c r="I103" s="304">
        <v>200000</v>
      </c>
      <c r="J103" s="289" t="e">
        <f t="shared" si="55"/>
        <v>#DIV/0!</v>
      </c>
      <c r="K103" s="302"/>
      <c r="L103" s="300">
        <v>400000</v>
      </c>
      <c r="M103" s="291" t="e">
        <f t="shared" si="56"/>
        <v>#DIV/0!</v>
      </c>
      <c r="N103" s="300"/>
      <c r="O103" s="300"/>
      <c r="P103" s="291" t="e">
        <f t="shared" si="57"/>
        <v>#DIV/0!</v>
      </c>
      <c r="Q103" s="280">
        <f aca="true" t="shared" si="82" ref="Q103:R107">N103+K103+H103</f>
        <v>0</v>
      </c>
      <c r="R103" s="280">
        <f t="shared" si="82"/>
        <v>600000</v>
      </c>
      <c r="S103" s="292" t="e">
        <f t="shared" si="73"/>
        <v>#DIV/0!</v>
      </c>
      <c r="T103" s="300"/>
      <c r="U103" s="304"/>
      <c r="V103" s="291" t="e">
        <f t="shared" si="58"/>
        <v>#DIV/0!</v>
      </c>
      <c r="W103" s="300"/>
      <c r="X103" s="304"/>
      <c r="Y103" s="291" t="e">
        <f t="shared" si="59"/>
        <v>#DIV/0!</v>
      </c>
      <c r="Z103" s="300"/>
      <c r="AA103" s="304"/>
      <c r="AB103" s="291" t="e">
        <f t="shared" si="60"/>
        <v>#DIV/0!</v>
      </c>
      <c r="AC103" s="280">
        <f aca="true" t="shared" si="83" ref="AC103:AD107">Z103+W103+T103</f>
        <v>0</v>
      </c>
      <c r="AD103" s="280">
        <f t="shared" si="83"/>
        <v>0</v>
      </c>
      <c r="AE103" s="292" t="e">
        <f t="shared" si="38"/>
        <v>#DIV/0!</v>
      </c>
      <c r="AF103" s="300"/>
      <c r="AG103" s="304"/>
      <c r="AH103" s="293" t="e">
        <f t="shared" si="61"/>
        <v>#DIV/0!</v>
      </c>
      <c r="AI103" s="300"/>
      <c r="AJ103" s="304"/>
      <c r="AK103" s="294" t="e">
        <f t="shared" si="62"/>
        <v>#DIV/0!</v>
      </c>
      <c r="AL103" s="90"/>
      <c r="AM103" s="90"/>
      <c r="AN103" s="295" t="e">
        <f t="shared" si="63"/>
        <v>#DIV/0!</v>
      </c>
      <c r="AO103" s="300">
        <f aca="true" t="shared" si="84" ref="AO103:AP107">AL103+AI103+AF103</f>
        <v>0</v>
      </c>
      <c r="AP103" s="300">
        <f t="shared" si="84"/>
        <v>0</v>
      </c>
      <c r="AQ103" s="292" t="e">
        <f t="shared" si="49"/>
        <v>#DIV/0!</v>
      </c>
      <c r="AR103" s="300"/>
      <c r="AS103" s="300"/>
      <c r="AT103" s="295" t="e">
        <f t="shared" si="64"/>
        <v>#DIV/0!</v>
      </c>
      <c r="AU103" s="300"/>
      <c r="AV103" s="300"/>
      <c r="AW103" s="295" t="e">
        <f t="shared" si="65"/>
        <v>#DIV/0!</v>
      </c>
      <c r="AX103" s="300"/>
      <c r="AY103" s="304"/>
      <c r="AZ103" s="294" t="e">
        <f t="shared" si="66"/>
        <v>#DIV/0!</v>
      </c>
      <c r="BA103" s="280">
        <f aca="true" t="shared" si="85" ref="BA103:BB107">AX103+AU103+AR103</f>
        <v>0</v>
      </c>
      <c r="BB103" s="280">
        <f t="shared" si="85"/>
        <v>0</v>
      </c>
      <c r="BC103" s="292" t="e">
        <f t="shared" si="50"/>
        <v>#DIV/0!</v>
      </c>
      <c r="BD103" s="304">
        <f>I103+L103+O103+U103+X103+AA103+AG103+AJ103+AM103+AS103+AV103+AY103</f>
        <v>600000</v>
      </c>
      <c r="BE103" s="296">
        <f t="shared" si="67"/>
        <v>1.2</v>
      </c>
      <c r="BF103" s="309">
        <f t="shared" si="72"/>
        <v>-100000</v>
      </c>
    </row>
    <row r="104" spans="1:58" ht="19.5" thickBot="1">
      <c r="A104" s="298">
        <v>2</v>
      </c>
      <c r="B104" s="299">
        <v>2</v>
      </c>
      <c r="C104" s="299">
        <v>8</v>
      </c>
      <c r="D104" s="299">
        <v>7</v>
      </c>
      <c r="E104" s="402" t="s">
        <v>150</v>
      </c>
      <c r="F104" s="90" t="s">
        <v>130</v>
      </c>
      <c r="G104" s="300">
        <v>350000</v>
      </c>
      <c r="H104" s="300"/>
      <c r="I104" s="304"/>
      <c r="J104" s="289" t="e">
        <f t="shared" si="55"/>
        <v>#DIV/0!</v>
      </c>
      <c r="K104" s="302"/>
      <c r="L104" s="300"/>
      <c r="M104" s="291" t="e">
        <f t="shared" si="56"/>
        <v>#DIV/0!</v>
      </c>
      <c r="N104" s="300"/>
      <c r="O104" s="300"/>
      <c r="P104" s="291" t="e">
        <f t="shared" si="57"/>
        <v>#DIV/0!</v>
      </c>
      <c r="Q104" s="280">
        <f t="shared" si="82"/>
        <v>0</v>
      </c>
      <c r="R104" s="280">
        <f t="shared" si="82"/>
        <v>0</v>
      </c>
      <c r="S104" s="292" t="e">
        <f t="shared" si="73"/>
        <v>#DIV/0!</v>
      </c>
      <c r="T104" s="300"/>
      <c r="U104" s="304"/>
      <c r="V104" s="291" t="e">
        <f t="shared" si="58"/>
        <v>#DIV/0!</v>
      </c>
      <c r="W104" s="300"/>
      <c r="X104" s="304"/>
      <c r="Y104" s="291" t="e">
        <f t="shared" si="59"/>
        <v>#DIV/0!</v>
      </c>
      <c r="Z104" s="300"/>
      <c r="AA104" s="304"/>
      <c r="AB104" s="291" t="e">
        <f t="shared" si="60"/>
        <v>#DIV/0!</v>
      </c>
      <c r="AC104" s="280">
        <f t="shared" si="83"/>
        <v>0</v>
      </c>
      <c r="AD104" s="280">
        <f t="shared" si="83"/>
        <v>0</v>
      </c>
      <c r="AE104" s="292" t="e">
        <f t="shared" si="38"/>
        <v>#DIV/0!</v>
      </c>
      <c r="AF104" s="300"/>
      <c r="AG104" s="304"/>
      <c r="AH104" s="293" t="e">
        <f t="shared" si="61"/>
        <v>#DIV/0!</v>
      </c>
      <c r="AI104" s="300"/>
      <c r="AJ104" s="304"/>
      <c r="AK104" s="294" t="e">
        <f t="shared" si="62"/>
        <v>#DIV/0!</v>
      </c>
      <c r="AL104" s="90"/>
      <c r="AM104" s="90"/>
      <c r="AN104" s="295" t="e">
        <f t="shared" si="63"/>
        <v>#DIV/0!</v>
      </c>
      <c r="AO104" s="300">
        <f t="shared" si="84"/>
        <v>0</v>
      </c>
      <c r="AP104" s="300">
        <f t="shared" si="84"/>
        <v>0</v>
      </c>
      <c r="AQ104" s="292" t="e">
        <f t="shared" si="49"/>
        <v>#DIV/0!</v>
      </c>
      <c r="AR104" s="300"/>
      <c r="AS104" s="300"/>
      <c r="AT104" s="295" t="e">
        <f t="shared" si="64"/>
        <v>#DIV/0!</v>
      </c>
      <c r="AU104" s="300"/>
      <c r="AV104" s="300"/>
      <c r="AW104" s="295" t="e">
        <f t="shared" si="65"/>
        <v>#DIV/0!</v>
      </c>
      <c r="AX104" s="300"/>
      <c r="AY104" s="304"/>
      <c r="AZ104" s="294" t="e">
        <f t="shared" si="66"/>
        <v>#DIV/0!</v>
      </c>
      <c r="BA104" s="280">
        <f t="shared" si="85"/>
        <v>0</v>
      </c>
      <c r="BB104" s="280">
        <f t="shared" si="85"/>
        <v>0</v>
      </c>
      <c r="BC104" s="292" t="e">
        <f t="shared" si="50"/>
        <v>#DIV/0!</v>
      </c>
      <c r="BD104" s="304">
        <f>I104+L104+O104+U104+X104+AA104+AG104+AJ104+AM104+AS104+AV104+AY104</f>
        <v>0</v>
      </c>
      <c r="BE104" s="296">
        <f t="shared" si="67"/>
        <v>0</v>
      </c>
      <c r="BF104" s="308">
        <f t="shared" si="72"/>
        <v>350000</v>
      </c>
    </row>
    <row r="105" spans="1:58" ht="19.5" thickBot="1">
      <c r="A105" s="298">
        <v>2</v>
      </c>
      <c r="B105" s="299">
        <v>2</v>
      </c>
      <c r="C105" s="299">
        <v>8</v>
      </c>
      <c r="D105" s="299">
        <v>7</v>
      </c>
      <c r="E105" s="402" t="s">
        <v>152</v>
      </c>
      <c r="F105" s="90" t="s">
        <v>97</v>
      </c>
      <c r="G105" s="300">
        <v>300000</v>
      </c>
      <c r="H105" s="300"/>
      <c r="I105" s="304"/>
      <c r="J105" s="289" t="e">
        <f t="shared" si="55"/>
        <v>#DIV/0!</v>
      </c>
      <c r="K105" s="302"/>
      <c r="L105" s="300"/>
      <c r="M105" s="291" t="e">
        <f t="shared" si="56"/>
        <v>#DIV/0!</v>
      </c>
      <c r="N105" s="300"/>
      <c r="O105" s="300"/>
      <c r="P105" s="291" t="e">
        <f t="shared" si="57"/>
        <v>#DIV/0!</v>
      </c>
      <c r="Q105" s="280">
        <f t="shared" si="82"/>
        <v>0</v>
      </c>
      <c r="R105" s="280">
        <f t="shared" si="82"/>
        <v>0</v>
      </c>
      <c r="S105" s="292" t="e">
        <f t="shared" si="73"/>
        <v>#DIV/0!</v>
      </c>
      <c r="T105" s="300"/>
      <c r="U105" s="304"/>
      <c r="V105" s="291" t="e">
        <f t="shared" si="58"/>
        <v>#DIV/0!</v>
      </c>
      <c r="W105" s="300"/>
      <c r="X105" s="304"/>
      <c r="Y105" s="291" t="e">
        <f t="shared" si="59"/>
        <v>#DIV/0!</v>
      </c>
      <c r="Z105" s="300"/>
      <c r="AA105" s="304"/>
      <c r="AB105" s="291" t="e">
        <f t="shared" si="60"/>
        <v>#DIV/0!</v>
      </c>
      <c r="AC105" s="280">
        <f t="shared" si="83"/>
        <v>0</v>
      </c>
      <c r="AD105" s="280">
        <f t="shared" si="83"/>
        <v>0</v>
      </c>
      <c r="AE105" s="292" t="e">
        <f t="shared" si="38"/>
        <v>#DIV/0!</v>
      </c>
      <c r="AF105" s="300"/>
      <c r="AG105" s="304"/>
      <c r="AH105" s="293" t="e">
        <f t="shared" si="61"/>
        <v>#DIV/0!</v>
      </c>
      <c r="AI105" s="300"/>
      <c r="AJ105" s="304"/>
      <c r="AK105" s="294" t="e">
        <f t="shared" si="62"/>
        <v>#DIV/0!</v>
      </c>
      <c r="AL105" s="90"/>
      <c r="AM105" s="90"/>
      <c r="AN105" s="295" t="e">
        <f t="shared" si="63"/>
        <v>#DIV/0!</v>
      </c>
      <c r="AO105" s="300">
        <f t="shared" si="84"/>
        <v>0</v>
      </c>
      <c r="AP105" s="300">
        <f t="shared" si="84"/>
        <v>0</v>
      </c>
      <c r="AQ105" s="292" t="e">
        <f t="shared" si="49"/>
        <v>#DIV/0!</v>
      </c>
      <c r="AR105" s="300"/>
      <c r="AS105" s="300"/>
      <c r="AT105" s="295" t="e">
        <f t="shared" si="64"/>
        <v>#DIV/0!</v>
      </c>
      <c r="AU105" s="300"/>
      <c r="AV105" s="300"/>
      <c r="AW105" s="295" t="e">
        <f t="shared" si="65"/>
        <v>#DIV/0!</v>
      </c>
      <c r="AX105" s="300"/>
      <c r="AY105" s="304"/>
      <c r="AZ105" s="294" t="e">
        <f t="shared" si="66"/>
        <v>#DIV/0!</v>
      </c>
      <c r="BA105" s="280">
        <f t="shared" si="85"/>
        <v>0</v>
      </c>
      <c r="BB105" s="280">
        <f t="shared" si="85"/>
        <v>0</v>
      </c>
      <c r="BC105" s="292" t="e">
        <f t="shared" si="50"/>
        <v>#DIV/0!</v>
      </c>
      <c r="BD105" s="304">
        <f>I105+L105+O105+U105+X105+AA105+AG105+AJ105+AM105+AS105+AV105+AY105</f>
        <v>0</v>
      </c>
      <c r="BE105" s="296">
        <f t="shared" si="67"/>
        <v>0</v>
      </c>
      <c r="BF105" s="308">
        <f t="shared" si="72"/>
        <v>300000</v>
      </c>
    </row>
    <row r="106" spans="1:58" ht="19.5" thickBot="1">
      <c r="A106" s="355">
        <v>2</v>
      </c>
      <c r="B106" s="356">
        <v>2</v>
      </c>
      <c r="C106" s="356">
        <v>8</v>
      </c>
      <c r="D106" s="356">
        <v>7</v>
      </c>
      <c r="E106" s="410" t="s">
        <v>153</v>
      </c>
      <c r="F106" s="173" t="s">
        <v>127</v>
      </c>
      <c r="G106" s="343">
        <v>75000</v>
      </c>
      <c r="H106" s="343"/>
      <c r="I106" s="344"/>
      <c r="J106" s="339" t="e">
        <f t="shared" si="55"/>
        <v>#DIV/0!</v>
      </c>
      <c r="K106" s="350"/>
      <c r="L106" s="343"/>
      <c r="M106" s="269" t="e">
        <f t="shared" si="56"/>
        <v>#DIV/0!</v>
      </c>
      <c r="N106" s="343"/>
      <c r="O106" s="343"/>
      <c r="P106" s="269" t="e">
        <f t="shared" si="57"/>
        <v>#DIV/0!</v>
      </c>
      <c r="Q106" s="341">
        <f t="shared" si="82"/>
        <v>0</v>
      </c>
      <c r="R106" s="341">
        <f t="shared" si="82"/>
        <v>0</v>
      </c>
      <c r="S106" s="342" t="e">
        <f t="shared" si="73"/>
        <v>#DIV/0!</v>
      </c>
      <c r="T106" s="343"/>
      <c r="U106" s="344"/>
      <c r="V106" s="269" t="e">
        <f t="shared" si="58"/>
        <v>#DIV/0!</v>
      </c>
      <c r="W106" s="343"/>
      <c r="X106" s="344"/>
      <c r="Y106" s="269" t="e">
        <f t="shared" si="59"/>
        <v>#DIV/0!</v>
      </c>
      <c r="Z106" s="343"/>
      <c r="AA106" s="344"/>
      <c r="AB106" s="269" t="e">
        <f t="shared" si="60"/>
        <v>#DIV/0!</v>
      </c>
      <c r="AC106" s="341">
        <f t="shared" si="83"/>
        <v>0</v>
      </c>
      <c r="AD106" s="341">
        <f t="shared" si="83"/>
        <v>0</v>
      </c>
      <c r="AE106" s="342" t="e">
        <f t="shared" si="38"/>
        <v>#DIV/0!</v>
      </c>
      <c r="AF106" s="343"/>
      <c r="AG106" s="344"/>
      <c r="AH106" s="271" t="e">
        <f t="shared" si="61"/>
        <v>#DIV/0!</v>
      </c>
      <c r="AI106" s="343"/>
      <c r="AJ106" s="344"/>
      <c r="AK106" s="266" t="e">
        <f t="shared" si="62"/>
        <v>#DIV/0!</v>
      </c>
      <c r="AL106" s="173"/>
      <c r="AM106" s="173"/>
      <c r="AN106" s="265" t="e">
        <f t="shared" si="63"/>
        <v>#DIV/0!</v>
      </c>
      <c r="AO106" s="343">
        <f t="shared" si="84"/>
        <v>0</v>
      </c>
      <c r="AP106" s="343">
        <f t="shared" si="84"/>
        <v>0</v>
      </c>
      <c r="AQ106" s="342" t="e">
        <f t="shared" si="49"/>
        <v>#DIV/0!</v>
      </c>
      <c r="AR106" s="343"/>
      <c r="AS106" s="343"/>
      <c r="AT106" s="265" t="e">
        <f t="shared" si="64"/>
        <v>#DIV/0!</v>
      </c>
      <c r="AU106" s="343"/>
      <c r="AV106" s="343"/>
      <c r="AW106" s="265" t="e">
        <f t="shared" si="65"/>
        <v>#DIV/0!</v>
      </c>
      <c r="AX106" s="343"/>
      <c r="AY106" s="344"/>
      <c r="AZ106" s="266" t="e">
        <f t="shared" si="66"/>
        <v>#DIV/0!</v>
      </c>
      <c r="BA106" s="341">
        <f t="shared" si="85"/>
        <v>0</v>
      </c>
      <c r="BB106" s="341">
        <f t="shared" si="85"/>
        <v>0</v>
      </c>
      <c r="BC106" s="342" t="e">
        <f t="shared" si="50"/>
        <v>#DIV/0!</v>
      </c>
      <c r="BD106" s="344">
        <f>I106+L106+O106+U106+X106+AA106+AG106+AJ106+AM106+AS106+AV106+AY106</f>
        <v>0</v>
      </c>
      <c r="BE106" s="345">
        <f t="shared" si="67"/>
        <v>0</v>
      </c>
      <c r="BF106" s="352">
        <f t="shared" si="72"/>
        <v>75000</v>
      </c>
    </row>
    <row r="107" spans="1:58" ht="19.5" thickBot="1">
      <c r="A107" s="357">
        <v>2</v>
      </c>
      <c r="B107" s="329">
        <v>2</v>
      </c>
      <c r="C107" s="329">
        <v>8</v>
      </c>
      <c r="D107" s="329">
        <v>7</v>
      </c>
      <c r="E107" s="411" t="s">
        <v>156</v>
      </c>
      <c r="F107" s="169" t="s">
        <v>134</v>
      </c>
      <c r="G107" s="278">
        <v>300000</v>
      </c>
      <c r="H107" s="278"/>
      <c r="I107" s="275"/>
      <c r="J107" s="276" t="e">
        <f t="shared" si="55"/>
        <v>#DIV/0!</v>
      </c>
      <c r="K107" s="277"/>
      <c r="L107" s="278">
        <v>38200</v>
      </c>
      <c r="M107" s="279" t="e">
        <f t="shared" si="56"/>
        <v>#DIV/0!</v>
      </c>
      <c r="N107" s="278"/>
      <c r="O107" s="278">
        <v>56600</v>
      </c>
      <c r="P107" s="279" t="e">
        <f t="shared" si="57"/>
        <v>#DIV/0!</v>
      </c>
      <c r="Q107" s="330">
        <f t="shared" si="82"/>
        <v>0</v>
      </c>
      <c r="R107" s="330">
        <f t="shared" si="82"/>
        <v>94800</v>
      </c>
      <c r="S107" s="281" t="e">
        <f t="shared" si="73"/>
        <v>#DIV/0!</v>
      </c>
      <c r="T107" s="278"/>
      <c r="U107" s="275"/>
      <c r="V107" s="279" t="e">
        <f t="shared" si="58"/>
        <v>#DIV/0!</v>
      </c>
      <c r="W107" s="278"/>
      <c r="X107" s="275"/>
      <c r="Y107" s="279" t="e">
        <f t="shared" si="59"/>
        <v>#DIV/0!</v>
      </c>
      <c r="Z107" s="278"/>
      <c r="AA107" s="275"/>
      <c r="AB107" s="279" t="e">
        <f t="shared" si="60"/>
        <v>#DIV/0!</v>
      </c>
      <c r="AC107" s="330">
        <f t="shared" si="83"/>
        <v>0</v>
      </c>
      <c r="AD107" s="330">
        <f t="shared" si="83"/>
        <v>0</v>
      </c>
      <c r="AE107" s="281" t="e">
        <f t="shared" si="38"/>
        <v>#DIV/0!</v>
      </c>
      <c r="AF107" s="278"/>
      <c r="AG107" s="275"/>
      <c r="AH107" s="282" t="e">
        <f t="shared" si="61"/>
        <v>#DIV/0!</v>
      </c>
      <c r="AI107" s="278"/>
      <c r="AJ107" s="275"/>
      <c r="AK107" s="283" t="e">
        <f t="shared" si="62"/>
        <v>#DIV/0!</v>
      </c>
      <c r="AL107" s="169"/>
      <c r="AM107" s="169"/>
      <c r="AN107" s="274" t="e">
        <f t="shared" si="63"/>
        <v>#DIV/0!</v>
      </c>
      <c r="AO107" s="278">
        <f t="shared" si="84"/>
        <v>0</v>
      </c>
      <c r="AP107" s="278">
        <f t="shared" si="84"/>
        <v>0</v>
      </c>
      <c r="AQ107" s="281" t="e">
        <f t="shared" si="49"/>
        <v>#DIV/0!</v>
      </c>
      <c r="AR107" s="278"/>
      <c r="AS107" s="278"/>
      <c r="AT107" s="274" t="e">
        <f t="shared" si="64"/>
        <v>#DIV/0!</v>
      </c>
      <c r="AU107" s="278"/>
      <c r="AV107" s="278"/>
      <c r="AW107" s="274" t="e">
        <f t="shared" si="65"/>
        <v>#DIV/0!</v>
      </c>
      <c r="AX107" s="278"/>
      <c r="AY107" s="275"/>
      <c r="AZ107" s="283" t="e">
        <f t="shared" si="66"/>
        <v>#DIV/0!</v>
      </c>
      <c r="BA107" s="330">
        <f t="shared" si="85"/>
        <v>0</v>
      </c>
      <c r="BB107" s="330">
        <f t="shared" si="85"/>
        <v>0</v>
      </c>
      <c r="BC107" s="281" t="e">
        <f t="shared" si="50"/>
        <v>#DIV/0!</v>
      </c>
      <c r="BD107" s="275">
        <f>I107+L107+O107+U107+X107+AA107+AG107+AJ107+AM107+AS107+AV107+AY107</f>
        <v>94800</v>
      </c>
      <c r="BE107" s="279">
        <f t="shared" si="67"/>
        <v>0.316</v>
      </c>
      <c r="BF107" s="285">
        <f t="shared" si="72"/>
        <v>205200</v>
      </c>
    </row>
    <row r="108" spans="1:58" ht="13.5" thickBot="1">
      <c r="A108" s="286">
        <v>2</v>
      </c>
      <c r="B108" s="231">
        <v>2</v>
      </c>
      <c r="C108" s="231">
        <v>8</v>
      </c>
      <c r="D108" s="231">
        <v>8</v>
      </c>
      <c r="E108" s="401"/>
      <c r="F108" s="155" t="s">
        <v>9</v>
      </c>
      <c r="G108" s="287">
        <f>G109+G110</f>
        <v>19000</v>
      </c>
      <c r="H108" s="287">
        <f>H109+H110</f>
        <v>0</v>
      </c>
      <c r="I108" s="288">
        <f>I109+I110</f>
        <v>0</v>
      </c>
      <c r="J108" s="289" t="e">
        <f t="shared" si="55"/>
        <v>#DIV/0!</v>
      </c>
      <c r="K108" s="290">
        <f>K109+K110</f>
        <v>0</v>
      </c>
      <c r="L108" s="287">
        <f>L109+L110</f>
        <v>0</v>
      </c>
      <c r="M108" s="291" t="e">
        <f t="shared" si="56"/>
        <v>#DIV/0!</v>
      </c>
      <c r="N108" s="287">
        <f>N109+N110</f>
        <v>0</v>
      </c>
      <c r="O108" s="287">
        <f>O109+O110</f>
        <v>0</v>
      </c>
      <c r="P108" s="291" t="e">
        <f t="shared" si="57"/>
        <v>#DIV/0!</v>
      </c>
      <c r="Q108" s="287">
        <f>Q109+Q110</f>
        <v>0</v>
      </c>
      <c r="R108" s="287">
        <f>R109+R110</f>
        <v>0</v>
      </c>
      <c r="S108" s="292" t="e">
        <f t="shared" si="73"/>
        <v>#DIV/0!</v>
      </c>
      <c r="T108" s="287">
        <f>T109+T110</f>
        <v>0</v>
      </c>
      <c r="U108" s="288">
        <f>U109+U110</f>
        <v>0</v>
      </c>
      <c r="V108" s="291" t="e">
        <f t="shared" si="58"/>
        <v>#DIV/0!</v>
      </c>
      <c r="W108" s="287">
        <f>W109+W110</f>
        <v>0</v>
      </c>
      <c r="X108" s="288">
        <f>X109+X110</f>
        <v>0</v>
      </c>
      <c r="Y108" s="291" t="e">
        <f t="shared" si="59"/>
        <v>#DIV/0!</v>
      </c>
      <c r="Z108" s="287">
        <f>Z109+Z110</f>
        <v>0</v>
      </c>
      <c r="AA108" s="288">
        <f>AA109+AA110</f>
        <v>0</v>
      </c>
      <c r="AB108" s="291" t="e">
        <f t="shared" si="60"/>
        <v>#DIV/0!</v>
      </c>
      <c r="AC108" s="287">
        <f>AC109+AC110</f>
        <v>0</v>
      </c>
      <c r="AD108" s="287">
        <f>AD109+AD110</f>
        <v>0</v>
      </c>
      <c r="AE108" s="292" t="e">
        <f t="shared" si="38"/>
        <v>#DIV/0!</v>
      </c>
      <c r="AF108" s="287">
        <f>AF109+AF110</f>
        <v>0</v>
      </c>
      <c r="AG108" s="288">
        <f>AG109+AG110</f>
        <v>0</v>
      </c>
      <c r="AH108" s="293" t="e">
        <f t="shared" si="61"/>
        <v>#DIV/0!</v>
      </c>
      <c r="AI108" s="287">
        <f>AI109+AI110</f>
        <v>0</v>
      </c>
      <c r="AJ108" s="288">
        <f>AJ109+AJ110</f>
        <v>0</v>
      </c>
      <c r="AK108" s="294" t="e">
        <f t="shared" si="62"/>
        <v>#DIV/0!</v>
      </c>
      <c r="AL108" s="287">
        <f>AL109+AL110</f>
        <v>0</v>
      </c>
      <c r="AM108" s="287">
        <f>AM109+AM110</f>
        <v>0</v>
      </c>
      <c r="AN108" s="295" t="e">
        <f t="shared" si="63"/>
        <v>#DIV/0!</v>
      </c>
      <c r="AO108" s="287">
        <f>AO109+AO110</f>
        <v>0</v>
      </c>
      <c r="AP108" s="287">
        <f>AP109+AP110</f>
        <v>0</v>
      </c>
      <c r="AQ108" s="292" t="e">
        <f t="shared" si="49"/>
        <v>#DIV/0!</v>
      </c>
      <c r="AR108" s="287"/>
      <c r="AS108" s="287"/>
      <c r="AT108" s="295" t="e">
        <f t="shared" si="64"/>
        <v>#DIV/0!</v>
      </c>
      <c r="AU108" s="287"/>
      <c r="AV108" s="287"/>
      <c r="AW108" s="295" t="e">
        <f t="shared" si="65"/>
        <v>#DIV/0!</v>
      </c>
      <c r="AX108" s="287">
        <f>AX109+AX110</f>
        <v>0</v>
      </c>
      <c r="AY108" s="288">
        <f>AY109+AY110</f>
        <v>0</v>
      </c>
      <c r="AZ108" s="294" t="e">
        <f t="shared" si="66"/>
        <v>#DIV/0!</v>
      </c>
      <c r="BA108" s="287">
        <f>BA109+BA110</f>
        <v>0</v>
      </c>
      <c r="BB108" s="287">
        <f>BB109+BB110</f>
        <v>0</v>
      </c>
      <c r="BC108" s="292" t="e">
        <f t="shared" si="50"/>
        <v>#DIV/0!</v>
      </c>
      <c r="BD108" s="288">
        <f>BD109+BD110</f>
        <v>0</v>
      </c>
      <c r="BE108" s="296">
        <f t="shared" si="67"/>
        <v>0</v>
      </c>
      <c r="BF108" s="297">
        <f t="shared" si="72"/>
        <v>19000</v>
      </c>
    </row>
    <row r="109" spans="1:58" ht="13.5" thickBot="1">
      <c r="A109" s="298">
        <v>2</v>
      </c>
      <c r="B109" s="299">
        <v>2</v>
      </c>
      <c r="C109" s="299">
        <v>8</v>
      </c>
      <c r="D109" s="299">
        <v>8</v>
      </c>
      <c r="E109" s="402" t="s">
        <v>149</v>
      </c>
      <c r="F109" s="90" t="s">
        <v>41</v>
      </c>
      <c r="G109" s="300">
        <v>15000</v>
      </c>
      <c r="H109" s="300"/>
      <c r="I109" s="304"/>
      <c r="J109" s="289" t="e">
        <f t="shared" si="55"/>
        <v>#DIV/0!</v>
      </c>
      <c r="K109" s="302"/>
      <c r="L109" s="300"/>
      <c r="M109" s="291" t="e">
        <f t="shared" si="56"/>
        <v>#DIV/0!</v>
      </c>
      <c r="N109" s="300"/>
      <c r="O109" s="300"/>
      <c r="P109" s="291" t="e">
        <f t="shared" si="57"/>
        <v>#DIV/0!</v>
      </c>
      <c r="Q109" s="280">
        <f>N109+K109+H109</f>
        <v>0</v>
      </c>
      <c r="R109" s="280">
        <f>O109+L109+I109</f>
        <v>0</v>
      </c>
      <c r="S109" s="292" t="e">
        <f t="shared" si="73"/>
        <v>#DIV/0!</v>
      </c>
      <c r="T109" s="300"/>
      <c r="U109" s="304"/>
      <c r="V109" s="291" t="e">
        <f t="shared" si="58"/>
        <v>#DIV/0!</v>
      </c>
      <c r="W109" s="300"/>
      <c r="X109" s="304"/>
      <c r="Y109" s="291" t="e">
        <f t="shared" si="59"/>
        <v>#DIV/0!</v>
      </c>
      <c r="Z109" s="300"/>
      <c r="AA109" s="304"/>
      <c r="AB109" s="291" t="e">
        <f t="shared" si="60"/>
        <v>#DIV/0!</v>
      </c>
      <c r="AC109" s="280">
        <f>Z109+W109+T109</f>
        <v>0</v>
      </c>
      <c r="AD109" s="280">
        <f>AA109+X109+U109</f>
        <v>0</v>
      </c>
      <c r="AE109" s="292" t="e">
        <f t="shared" si="38"/>
        <v>#DIV/0!</v>
      </c>
      <c r="AF109" s="300"/>
      <c r="AG109" s="304"/>
      <c r="AH109" s="293" t="e">
        <f t="shared" si="61"/>
        <v>#DIV/0!</v>
      </c>
      <c r="AI109" s="300"/>
      <c r="AJ109" s="304"/>
      <c r="AK109" s="294" t="e">
        <f t="shared" si="62"/>
        <v>#DIV/0!</v>
      </c>
      <c r="AL109" s="90"/>
      <c r="AM109" s="90"/>
      <c r="AN109" s="295" t="e">
        <f t="shared" si="63"/>
        <v>#DIV/0!</v>
      </c>
      <c r="AO109" s="300">
        <f>AL109+AI109+AF109</f>
        <v>0</v>
      </c>
      <c r="AP109" s="300">
        <f>AM109+AJ109+AG109</f>
        <v>0</v>
      </c>
      <c r="AQ109" s="292" t="e">
        <f t="shared" si="49"/>
        <v>#DIV/0!</v>
      </c>
      <c r="AR109" s="300"/>
      <c r="AS109" s="300"/>
      <c r="AT109" s="295" t="e">
        <f t="shared" si="64"/>
        <v>#DIV/0!</v>
      </c>
      <c r="AU109" s="300"/>
      <c r="AV109" s="300"/>
      <c r="AW109" s="295" t="e">
        <f t="shared" si="65"/>
        <v>#DIV/0!</v>
      </c>
      <c r="AX109" s="300"/>
      <c r="AY109" s="304"/>
      <c r="AZ109" s="294" t="e">
        <f t="shared" si="66"/>
        <v>#DIV/0!</v>
      </c>
      <c r="BA109" s="280">
        <f>AX109+AU109+AR109</f>
        <v>0</v>
      </c>
      <c r="BB109" s="280">
        <f>AY109+AV109+AS109</f>
        <v>0</v>
      </c>
      <c r="BC109" s="292" t="e">
        <f t="shared" si="50"/>
        <v>#DIV/0!</v>
      </c>
      <c r="BD109" s="304">
        <f>I109+L109+O109+U109+X109+AA109+AG109+AJ109+AM109+AS109+AV109+AY109</f>
        <v>0</v>
      </c>
      <c r="BE109" s="296">
        <f t="shared" si="67"/>
        <v>0</v>
      </c>
      <c r="BF109" s="308">
        <f>G109-(I109+L109+O109+U109+X109+AA109+AG109+AJ109+AM109+AS109+AV109+AY109)</f>
        <v>15000</v>
      </c>
    </row>
    <row r="110" spans="1:58" ht="19.5" thickBot="1">
      <c r="A110" s="298">
        <v>2</v>
      </c>
      <c r="B110" s="299">
        <v>2</v>
      </c>
      <c r="C110" s="299">
        <v>8</v>
      </c>
      <c r="D110" s="299">
        <v>8</v>
      </c>
      <c r="E110" s="402" t="s">
        <v>151</v>
      </c>
      <c r="F110" s="90" t="s">
        <v>42</v>
      </c>
      <c r="G110" s="300">
        <v>4000</v>
      </c>
      <c r="H110" s="300"/>
      <c r="I110" s="304"/>
      <c r="J110" s="289" t="e">
        <f t="shared" si="55"/>
        <v>#DIV/0!</v>
      </c>
      <c r="K110" s="302"/>
      <c r="L110" s="300"/>
      <c r="M110" s="291" t="e">
        <f t="shared" si="56"/>
        <v>#DIV/0!</v>
      </c>
      <c r="N110" s="300"/>
      <c r="O110" s="300"/>
      <c r="P110" s="291" t="e">
        <f t="shared" si="57"/>
        <v>#DIV/0!</v>
      </c>
      <c r="Q110" s="280">
        <f>N110+K110+H110</f>
        <v>0</v>
      </c>
      <c r="R110" s="280">
        <f>O110+L110+I110</f>
        <v>0</v>
      </c>
      <c r="S110" s="292" t="e">
        <f t="shared" si="73"/>
        <v>#DIV/0!</v>
      </c>
      <c r="T110" s="300"/>
      <c r="U110" s="304"/>
      <c r="V110" s="291" t="e">
        <f t="shared" si="58"/>
        <v>#DIV/0!</v>
      </c>
      <c r="W110" s="300"/>
      <c r="X110" s="304"/>
      <c r="Y110" s="291" t="e">
        <f t="shared" si="59"/>
        <v>#DIV/0!</v>
      </c>
      <c r="Z110" s="300"/>
      <c r="AA110" s="304"/>
      <c r="AB110" s="291" t="e">
        <f t="shared" si="60"/>
        <v>#DIV/0!</v>
      </c>
      <c r="AC110" s="280">
        <f>Z110+W110+T110</f>
        <v>0</v>
      </c>
      <c r="AD110" s="280">
        <f>AA110+X110+U110</f>
        <v>0</v>
      </c>
      <c r="AE110" s="292" t="e">
        <f t="shared" si="38"/>
        <v>#DIV/0!</v>
      </c>
      <c r="AF110" s="300"/>
      <c r="AG110" s="304"/>
      <c r="AH110" s="293" t="e">
        <f t="shared" si="61"/>
        <v>#DIV/0!</v>
      </c>
      <c r="AI110" s="300"/>
      <c r="AJ110" s="304"/>
      <c r="AK110" s="294" t="e">
        <f t="shared" si="62"/>
        <v>#DIV/0!</v>
      </c>
      <c r="AL110" s="90"/>
      <c r="AM110" s="90"/>
      <c r="AN110" s="295" t="e">
        <f t="shared" si="63"/>
        <v>#DIV/0!</v>
      </c>
      <c r="AO110" s="300">
        <f>AL110+AI110+AF110</f>
        <v>0</v>
      </c>
      <c r="AP110" s="300">
        <f>AM110+AJ110+AG110</f>
        <v>0</v>
      </c>
      <c r="AQ110" s="292" t="e">
        <f t="shared" si="49"/>
        <v>#DIV/0!</v>
      </c>
      <c r="AR110" s="300"/>
      <c r="AS110" s="300"/>
      <c r="AT110" s="295" t="e">
        <f t="shared" si="64"/>
        <v>#DIV/0!</v>
      </c>
      <c r="AU110" s="300"/>
      <c r="AV110" s="300"/>
      <c r="AW110" s="295" t="e">
        <f t="shared" si="65"/>
        <v>#DIV/0!</v>
      </c>
      <c r="AX110" s="300"/>
      <c r="AY110" s="304"/>
      <c r="AZ110" s="294" t="e">
        <f t="shared" si="66"/>
        <v>#DIV/0!</v>
      </c>
      <c r="BA110" s="280">
        <f>AX110+AU110+AR110</f>
        <v>0</v>
      </c>
      <c r="BB110" s="280">
        <f>AY110+AV110+AS110</f>
        <v>0</v>
      </c>
      <c r="BC110" s="292" t="e">
        <f t="shared" si="50"/>
        <v>#DIV/0!</v>
      </c>
      <c r="BD110" s="304">
        <f>I110+L110+O110+U110+X110+AA110+AG110+AJ110+AM110+AS110+AV110+AY110</f>
        <v>0</v>
      </c>
      <c r="BE110" s="296">
        <f t="shared" si="67"/>
        <v>0</v>
      </c>
      <c r="BF110" s="308">
        <f t="shared" si="72"/>
        <v>4000</v>
      </c>
    </row>
    <row r="111" spans="1:58" ht="13.5" thickBot="1">
      <c r="A111" s="358"/>
      <c r="B111" s="359"/>
      <c r="C111" s="359"/>
      <c r="D111" s="359"/>
      <c r="E111" s="405"/>
      <c r="F111" s="154"/>
      <c r="G111" s="319"/>
      <c r="H111" s="319"/>
      <c r="I111" s="316"/>
      <c r="J111" s="317"/>
      <c r="K111" s="318"/>
      <c r="L111" s="319"/>
      <c r="M111" s="320"/>
      <c r="N111" s="319"/>
      <c r="O111" s="319"/>
      <c r="P111" s="320"/>
      <c r="Q111" s="321"/>
      <c r="R111" s="321"/>
      <c r="S111" s="322"/>
      <c r="T111" s="319"/>
      <c r="U111" s="316"/>
      <c r="V111" s="320"/>
      <c r="W111" s="319"/>
      <c r="X111" s="316"/>
      <c r="Y111" s="320"/>
      <c r="Z111" s="319"/>
      <c r="AA111" s="316"/>
      <c r="AB111" s="320"/>
      <c r="AC111" s="321"/>
      <c r="AD111" s="321"/>
      <c r="AE111" s="322"/>
      <c r="AF111" s="319"/>
      <c r="AG111" s="316"/>
      <c r="AH111" s="293"/>
      <c r="AI111" s="319"/>
      <c r="AJ111" s="316"/>
      <c r="AK111" s="323"/>
      <c r="AL111" s="91"/>
      <c r="AM111" s="91"/>
      <c r="AN111" s="324"/>
      <c r="AO111" s="319"/>
      <c r="AP111" s="319"/>
      <c r="AQ111" s="322"/>
      <c r="AR111" s="319"/>
      <c r="AS111" s="319"/>
      <c r="AT111" s="324"/>
      <c r="AU111" s="319"/>
      <c r="AV111" s="319"/>
      <c r="AW111" s="324"/>
      <c r="AX111" s="319"/>
      <c r="AY111" s="316"/>
      <c r="AZ111" s="323"/>
      <c r="BA111" s="321"/>
      <c r="BB111" s="321"/>
      <c r="BC111" s="322"/>
      <c r="BD111" s="316"/>
      <c r="BE111" s="348"/>
      <c r="BF111" s="326"/>
    </row>
    <row r="112" spans="1:58" ht="13.5" thickBot="1">
      <c r="A112" s="263">
        <v>2</v>
      </c>
      <c r="B112" s="264">
        <v>3</v>
      </c>
      <c r="C112" s="264"/>
      <c r="D112" s="264"/>
      <c r="E112" s="399"/>
      <c r="F112" s="211" t="s">
        <v>59</v>
      </c>
      <c r="G112" s="265">
        <f>G114+G121+G124+G130+G133+G138+G141+G147</f>
        <v>4065000</v>
      </c>
      <c r="H112" s="265">
        <f>H114+H121+H124+H130+H133+H138+H141+H147</f>
        <v>0</v>
      </c>
      <c r="I112" s="266">
        <f>I114+I121+I124+I130+I133+I138+I141+I147</f>
        <v>82000</v>
      </c>
      <c r="J112" s="267" t="e">
        <f t="shared" si="55"/>
        <v>#DIV/0!</v>
      </c>
      <c r="K112" s="268">
        <f>K114+K121+K124+K130+K133+K138+K141+K147</f>
        <v>0</v>
      </c>
      <c r="L112" s="265">
        <f>L114+L121+L124+L130+L133+L138+L141+L147</f>
        <v>280096.58</v>
      </c>
      <c r="M112" s="269" t="e">
        <f t="shared" si="56"/>
        <v>#DIV/0!</v>
      </c>
      <c r="N112" s="265">
        <f>N114+N121+N124+N130+N133+N138+N141+N147</f>
        <v>0</v>
      </c>
      <c r="O112" s="265">
        <f>O114+O121+O124+O130+O133+O138+O141+O147</f>
        <v>214152.16</v>
      </c>
      <c r="P112" s="269" t="e">
        <f t="shared" si="57"/>
        <v>#DIV/0!</v>
      </c>
      <c r="Q112" s="265">
        <f>Q114+Q121+Q124+Q130+Q133+Q138+Q141+Q147</f>
        <v>0</v>
      </c>
      <c r="R112" s="265">
        <f>R114+R121+R124+R130+R133+R138+R141+R147</f>
        <v>576248.74</v>
      </c>
      <c r="S112" s="327" t="e">
        <f t="shared" si="73"/>
        <v>#DIV/0!</v>
      </c>
      <c r="T112" s="265">
        <f>T114+T121+T124+T130+T133+T138+T141+T147</f>
        <v>0</v>
      </c>
      <c r="U112" s="266">
        <f>U114+U121+U124+U130+U133+U138+U141+U147</f>
        <v>0</v>
      </c>
      <c r="V112" s="269" t="e">
        <f t="shared" si="58"/>
        <v>#DIV/0!</v>
      </c>
      <c r="W112" s="265">
        <f>W114+W121+W124+W130+W133+W138+W141+W147</f>
        <v>0</v>
      </c>
      <c r="X112" s="266">
        <f>X114+X121+X124+X130+X133+X138+X141+X147</f>
        <v>0</v>
      </c>
      <c r="Y112" s="269" t="e">
        <f t="shared" si="59"/>
        <v>#DIV/0!</v>
      </c>
      <c r="Z112" s="265">
        <f>Z114+Z121+Z124+Z130+Z133+Z138+Z141+Z147</f>
        <v>0</v>
      </c>
      <c r="AA112" s="266">
        <f>AA114+AA121+AA124+AA130+AA133+AA138+AA141+AA147</f>
        <v>0</v>
      </c>
      <c r="AB112" s="269" t="e">
        <f t="shared" si="60"/>
        <v>#DIV/0!</v>
      </c>
      <c r="AC112" s="265">
        <f>AC114+AC121+AC124+AC130+AC133+AC138+AC141+AC147</f>
        <v>0</v>
      </c>
      <c r="AD112" s="265">
        <f>AD114+AD121+AD124+AD130+AD133+AD138+AD141+AD147</f>
        <v>0</v>
      </c>
      <c r="AE112" s="327" t="e">
        <f t="shared" si="38"/>
        <v>#DIV/0!</v>
      </c>
      <c r="AF112" s="265">
        <f>AF114+AF121+AF124+AF130+AF133+AF138+AF141+AF147</f>
        <v>0</v>
      </c>
      <c r="AG112" s="266">
        <f>AG114+AG121+AG124+AG130+AG133+AG138+AG141+AG147</f>
        <v>0</v>
      </c>
      <c r="AH112" s="271" t="e">
        <f t="shared" si="61"/>
        <v>#DIV/0!</v>
      </c>
      <c r="AI112" s="265">
        <f>AI114+AI121+AI124+AI130+AI133+AI138+AI141+AI147</f>
        <v>0</v>
      </c>
      <c r="AJ112" s="266">
        <f>AJ114+AJ121+AJ124+AJ130+AJ133+AJ138+AJ141+AJ147</f>
        <v>0</v>
      </c>
      <c r="AK112" s="266" t="e">
        <f t="shared" si="62"/>
        <v>#DIV/0!</v>
      </c>
      <c r="AL112" s="265">
        <f>AL114+AL121+AL124+AL130+AL133+AL138+AL141+AL147</f>
        <v>0</v>
      </c>
      <c r="AM112" s="265">
        <f>AM114+AM121+AM124+AM130+AM133+AM138+AM141+AM147</f>
        <v>0</v>
      </c>
      <c r="AN112" s="265" t="e">
        <f t="shared" si="63"/>
        <v>#DIV/0!</v>
      </c>
      <c r="AO112" s="265">
        <f>AO114+AO121+AO124+AO130+AO133+AO138+AO141+AO147</f>
        <v>0</v>
      </c>
      <c r="AP112" s="265">
        <f>AP114+AP121+AP124+AP130+AP133+AP138+AP141+AP147</f>
        <v>0</v>
      </c>
      <c r="AQ112" s="327" t="e">
        <f t="shared" si="49"/>
        <v>#DIV/0!</v>
      </c>
      <c r="AR112" s="265"/>
      <c r="AS112" s="265"/>
      <c r="AT112" s="265" t="e">
        <f t="shared" si="64"/>
        <v>#DIV/0!</v>
      </c>
      <c r="AU112" s="265"/>
      <c r="AV112" s="265"/>
      <c r="AW112" s="265" t="e">
        <f t="shared" si="65"/>
        <v>#DIV/0!</v>
      </c>
      <c r="AX112" s="265">
        <f>AX114+AX121+AX124+AX130+AX133+AX138+AX141+AX147</f>
        <v>0</v>
      </c>
      <c r="AY112" s="266">
        <f>AY114+AY121+AY124+AY130+AY133+AY138+AY141+AY147</f>
        <v>0</v>
      </c>
      <c r="AZ112" s="266" t="e">
        <f t="shared" si="66"/>
        <v>#DIV/0!</v>
      </c>
      <c r="BA112" s="265">
        <f>BA114+BA121+BA124+BA130+BA133+BA138+BA141+BA147</f>
        <v>0</v>
      </c>
      <c r="BB112" s="265">
        <f>BB114+BB121+BB124+BB130+BB133+BB138+BB141+BB147</f>
        <v>0</v>
      </c>
      <c r="BC112" s="327" t="e">
        <f t="shared" si="50"/>
        <v>#DIV/0!</v>
      </c>
      <c r="BD112" s="266">
        <f>BD114+BD121+BD124+BD130+BD133+BD138+BD141+BD147</f>
        <v>576248.74</v>
      </c>
      <c r="BE112" s="269">
        <f t="shared" si="67"/>
        <v>0.14175860762607626</v>
      </c>
      <c r="BF112" s="328">
        <f t="shared" si="72"/>
        <v>3488751.26</v>
      </c>
    </row>
    <row r="113" spans="1:58" ht="13.5" thickBot="1">
      <c r="A113" s="357"/>
      <c r="B113" s="329"/>
      <c r="C113" s="329"/>
      <c r="D113" s="329"/>
      <c r="E113" s="406"/>
      <c r="F113" s="130"/>
      <c r="G113" s="274"/>
      <c r="H113" s="274"/>
      <c r="I113" s="275"/>
      <c r="J113" s="276"/>
      <c r="K113" s="277"/>
      <c r="L113" s="278"/>
      <c r="M113" s="279"/>
      <c r="N113" s="278"/>
      <c r="O113" s="278"/>
      <c r="P113" s="279"/>
      <c r="Q113" s="330"/>
      <c r="R113" s="330"/>
      <c r="S113" s="281"/>
      <c r="T113" s="274"/>
      <c r="U113" s="275"/>
      <c r="V113" s="279"/>
      <c r="W113" s="274"/>
      <c r="X113" s="275"/>
      <c r="Y113" s="279"/>
      <c r="Z113" s="274"/>
      <c r="AA113" s="275"/>
      <c r="AB113" s="279"/>
      <c r="AC113" s="330"/>
      <c r="AD113" s="330"/>
      <c r="AE113" s="281"/>
      <c r="AF113" s="274"/>
      <c r="AG113" s="275"/>
      <c r="AH113" s="282"/>
      <c r="AI113" s="274"/>
      <c r="AJ113" s="275"/>
      <c r="AK113" s="283"/>
      <c r="AL113" s="169"/>
      <c r="AM113" s="169"/>
      <c r="AN113" s="274"/>
      <c r="AO113" s="278"/>
      <c r="AP113" s="278"/>
      <c r="AQ113" s="281"/>
      <c r="AR113" s="278"/>
      <c r="AS113" s="278"/>
      <c r="AT113" s="274"/>
      <c r="AU113" s="278"/>
      <c r="AV113" s="278"/>
      <c r="AW113" s="274"/>
      <c r="AX113" s="278"/>
      <c r="AY113" s="275"/>
      <c r="AZ113" s="283"/>
      <c r="BA113" s="330"/>
      <c r="BB113" s="330"/>
      <c r="BC113" s="281"/>
      <c r="BD113" s="283"/>
      <c r="BE113" s="284"/>
      <c r="BF113" s="285"/>
    </row>
    <row r="114" spans="1:58" ht="13.5" thickBot="1">
      <c r="A114" s="286">
        <v>2</v>
      </c>
      <c r="B114" s="231">
        <v>3</v>
      </c>
      <c r="C114" s="231">
        <v>1</v>
      </c>
      <c r="D114" s="299"/>
      <c r="E114" s="403"/>
      <c r="F114" s="155" t="s">
        <v>3</v>
      </c>
      <c r="G114" s="287">
        <f>G115+G118</f>
        <v>365000</v>
      </c>
      <c r="H114" s="287">
        <f>H115+H118</f>
        <v>0</v>
      </c>
      <c r="I114" s="288">
        <f>I115+I118</f>
        <v>0</v>
      </c>
      <c r="J114" s="289" t="e">
        <f t="shared" si="55"/>
        <v>#DIV/0!</v>
      </c>
      <c r="K114" s="290">
        <f>K115+K118</f>
        <v>0</v>
      </c>
      <c r="L114" s="287">
        <f>L115+L118</f>
        <v>8546.63</v>
      </c>
      <c r="M114" s="291" t="e">
        <f t="shared" si="56"/>
        <v>#DIV/0!</v>
      </c>
      <c r="N114" s="287">
        <f>N115+N118</f>
        <v>0</v>
      </c>
      <c r="O114" s="287">
        <f>O115+O118</f>
        <v>27373.12</v>
      </c>
      <c r="P114" s="291" t="e">
        <f t="shared" si="57"/>
        <v>#DIV/0!</v>
      </c>
      <c r="Q114" s="287">
        <f>Q115+Q118</f>
        <v>0</v>
      </c>
      <c r="R114" s="287">
        <f>R115+R118</f>
        <v>35919.75</v>
      </c>
      <c r="S114" s="292" t="e">
        <f t="shared" si="73"/>
        <v>#DIV/0!</v>
      </c>
      <c r="T114" s="287">
        <f>T115+T118</f>
        <v>0</v>
      </c>
      <c r="U114" s="288">
        <f>U115+U118</f>
        <v>0</v>
      </c>
      <c r="V114" s="291" t="e">
        <f t="shared" si="58"/>
        <v>#DIV/0!</v>
      </c>
      <c r="W114" s="287">
        <f>W115+W118</f>
        <v>0</v>
      </c>
      <c r="X114" s="288">
        <f>X115+X118</f>
        <v>0</v>
      </c>
      <c r="Y114" s="291" t="e">
        <f t="shared" si="59"/>
        <v>#DIV/0!</v>
      </c>
      <c r="Z114" s="287">
        <f>Z115+Z118</f>
        <v>0</v>
      </c>
      <c r="AA114" s="288">
        <f>AA115+AA118</f>
        <v>0</v>
      </c>
      <c r="AB114" s="291" t="e">
        <f t="shared" si="60"/>
        <v>#DIV/0!</v>
      </c>
      <c r="AC114" s="287">
        <f>AC115+AC118</f>
        <v>0</v>
      </c>
      <c r="AD114" s="287">
        <f>AD115+AD118</f>
        <v>0</v>
      </c>
      <c r="AE114" s="292" t="e">
        <f aca="true" t="shared" si="86" ref="AE114:AE173">AD114/AC114</f>
        <v>#DIV/0!</v>
      </c>
      <c r="AF114" s="287">
        <f>AF115+AF118</f>
        <v>0</v>
      </c>
      <c r="AG114" s="288">
        <f>AG115+AG118</f>
        <v>0</v>
      </c>
      <c r="AH114" s="293" t="e">
        <f t="shared" si="61"/>
        <v>#DIV/0!</v>
      </c>
      <c r="AI114" s="287">
        <f>AI115+AI118</f>
        <v>0</v>
      </c>
      <c r="AJ114" s="288">
        <f>AJ115+AJ118</f>
        <v>0</v>
      </c>
      <c r="AK114" s="294" t="e">
        <f t="shared" si="62"/>
        <v>#DIV/0!</v>
      </c>
      <c r="AL114" s="287">
        <f>AL115+AL118</f>
        <v>0</v>
      </c>
      <c r="AM114" s="287">
        <f>AM115+AM118</f>
        <v>0</v>
      </c>
      <c r="AN114" s="295" t="e">
        <f t="shared" si="63"/>
        <v>#DIV/0!</v>
      </c>
      <c r="AO114" s="287">
        <f>AO115+AO118</f>
        <v>0</v>
      </c>
      <c r="AP114" s="287">
        <f>AP115+AP118</f>
        <v>0</v>
      </c>
      <c r="AQ114" s="292" t="e">
        <f t="shared" si="49"/>
        <v>#DIV/0!</v>
      </c>
      <c r="AR114" s="287"/>
      <c r="AS114" s="287"/>
      <c r="AT114" s="295" t="e">
        <f t="shared" si="64"/>
        <v>#DIV/0!</v>
      </c>
      <c r="AU114" s="287"/>
      <c r="AV114" s="287"/>
      <c r="AW114" s="295" t="e">
        <f t="shared" si="65"/>
        <v>#DIV/0!</v>
      </c>
      <c r="AX114" s="287">
        <f>AX115+AX118</f>
        <v>0</v>
      </c>
      <c r="AY114" s="288">
        <f>AY115+AY118</f>
        <v>0</v>
      </c>
      <c r="AZ114" s="294" t="e">
        <f t="shared" si="66"/>
        <v>#DIV/0!</v>
      </c>
      <c r="BA114" s="287">
        <f>BA115+BA118</f>
        <v>0</v>
      </c>
      <c r="BB114" s="287">
        <f>BB115+BB118</f>
        <v>0</v>
      </c>
      <c r="BC114" s="292" t="e">
        <f t="shared" si="50"/>
        <v>#DIV/0!</v>
      </c>
      <c r="BD114" s="288">
        <f>BD115+BD118</f>
        <v>35919.75</v>
      </c>
      <c r="BE114" s="296">
        <f t="shared" si="67"/>
        <v>0.09841027397260274</v>
      </c>
      <c r="BF114" s="297">
        <f t="shared" si="72"/>
        <v>329080.25</v>
      </c>
    </row>
    <row r="115" spans="1:58" ht="13.5" thickBot="1">
      <c r="A115" s="286">
        <v>2</v>
      </c>
      <c r="B115" s="231">
        <v>3</v>
      </c>
      <c r="C115" s="231">
        <v>1</v>
      </c>
      <c r="D115" s="231">
        <v>1</v>
      </c>
      <c r="E115" s="401"/>
      <c r="F115" s="155" t="s">
        <v>6</v>
      </c>
      <c r="G115" s="287">
        <f>G116</f>
        <v>350000</v>
      </c>
      <c r="H115" s="287">
        <f>H116</f>
        <v>0</v>
      </c>
      <c r="I115" s="288">
        <f>I116</f>
        <v>0</v>
      </c>
      <c r="J115" s="289" t="e">
        <f t="shared" si="55"/>
        <v>#DIV/0!</v>
      </c>
      <c r="K115" s="290">
        <f>K116</f>
        <v>0</v>
      </c>
      <c r="L115" s="287">
        <f>L116</f>
        <v>8546.63</v>
      </c>
      <c r="M115" s="291" t="e">
        <f t="shared" si="56"/>
        <v>#DIV/0!</v>
      </c>
      <c r="N115" s="287">
        <f>N116</f>
        <v>0</v>
      </c>
      <c r="O115" s="287">
        <f>O116</f>
        <v>27373.12</v>
      </c>
      <c r="P115" s="291" t="e">
        <f t="shared" si="57"/>
        <v>#DIV/0!</v>
      </c>
      <c r="Q115" s="287">
        <f>Q116</f>
        <v>0</v>
      </c>
      <c r="R115" s="287">
        <f>R116</f>
        <v>35919.75</v>
      </c>
      <c r="S115" s="292" t="e">
        <f t="shared" si="73"/>
        <v>#DIV/0!</v>
      </c>
      <c r="T115" s="287">
        <f>T116</f>
        <v>0</v>
      </c>
      <c r="U115" s="288">
        <f>U116</f>
        <v>0</v>
      </c>
      <c r="V115" s="291" t="e">
        <f t="shared" si="58"/>
        <v>#DIV/0!</v>
      </c>
      <c r="W115" s="287">
        <f>W116</f>
        <v>0</v>
      </c>
      <c r="X115" s="288">
        <f>X116</f>
        <v>0</v>
      </c>
      <c r="Y115" s="291" t="e">
        <f t="shared" si="59"/>
        <v>#DIV/0!</v>
      </c>
      <c r="Z115" s="287">
        <f>Z116</f>
        <v>0</v>
      </c>
      <c r="AA115" s="288">
        <f>AA116</f>
        <v>0</v>
      </c>
      <c r="AB115" s="291" t="e">
        <f t="shared" si="60"/>
        <v>#DIV/0!</v>
      </c>
      <c r="AC115" s="287">
        <f>AC116</f>
        <v>0</v>
      </c>
      <c r="AD115" s="287">
        <f>AD116</f>
        <v>0</v>
      </c>
      <c r="AE115" s="292" t="e">
        <f t="shared" si="86"/>
        <v>#DIV/0!</v>
      </c>
      <c r="AF115" s="287">
        <f>AF116</f>
        <v>0</v>
      </c>
      <c r="AG115" s="288">
        <f>AG116</f>
        <v>0</v>
      </c>
      <c r="AH115" s="293" t="e">
        <f t="shared" si="61"/>
        <v>#DIV/0!</v>
      </c>
      <c r="AI115" s="287">
        <f>AI116</f>
        <v>0</v>
      </c>
      <c r="AJ115" s="288">
        <f>AJ116</f>
        <v>0</v>
      </c>
      <c r="AK115" s="294" t="e">
        <f t="shared" si="62"/>
        <v>#DIV/0!</v>
      </c>
      <c r="AL115" s="287">
        <f>AL116</f>
        <v>0</v>
      </c>
      <c r="AM115" s="287">
        <f>AM116</f>
        <v>0</v>
      </c>
      <c r="AN115" s="295" t="e">
        <f t="shared" si="63"/>
        <v>#DIV/0!</v>
      </c>
      <c r="AO115" s="287">
        <f>AO116</f>
        <v>0</v>
      </c>
      <c r="AP115" s="287">
        <f>AP116</f>
        <v>0</v>
      </c>
      <c r="AQ115" s="292" t="e">
        <f t="shared" si="49"/>
        <v>#DIV/0!</v>
      </c>
      <c r="AR115" s="287"/>
      <c r="AS115" s="287"/>
      <c r="AT115" s="295" t="e">
        <f t="shared" si="64"/>
        <v>#DIV/0!</v>
      </c>
      <c r="AU115" s="287"/>
      <c r="AV115" s="287"/>
      <c r="AW115" s="295" t="e">
        <f t="shared" si="65"/>
        <v>#DIV/0!</v>
      </c>
      <c r="AX115" s="287">
        <f>AX116</f>
        <v>0</v>
      </c>
      <c r="AY115" s="288">
        <f>AY116</f>
        <v>0</v>
      </c>
      <c r="AZ115" s="294" t="e">
        <f t="shared" si="66"/>
        <v>#DIV/0!</v>
      </c>
      <c r="BA115" s="287">
        <f>BA116</f>
        <v>0</v>
      </c>
      <c r="BB115" s="287">
        <f>BB116</f>
        <v>0</v>
      </c>
      <c r="BC115" s="292" t="e">
        <f t="shared" si="50"/>
        <v>#DIV/0!</v>
      </c>
      <c r="BD115" s="288">
        <f>BD116</f>
        <v>35919.75</v>
      </c>
      <c r="BE115" s="296">
        <f t="shared" si="67"/>
        <v>0.10262785714285715</v>
      </c>
      <c r="BF115" s="297">
        <f t="shared" si="72"/>
        <v>314080.25</v>
      </c>
    </row>
    <row r="116" spans="1:58" ht="13.5" thickBot="1">
      <c r="A116" s="298">
        <v>2</v>
      </c>
      <c r="B116" s="299">
        <v>3</v>
      </c>
      <c r="C116" s="299">
        <v>1</v>
      </c>
      <c r="D116" s="299">
        <v>1</v>
      </c>
      <c r="E116" s="402" t="s">
        <v>149</v>
      </c>
      <c r="F116" s="90" t="s">
        <v>6</v>
      </c>
      <c r="G116" s="300">
        <v>350000</v>
      </c>
      <c r="H116" s="300"/>
      <c r="I116" s="304"/>
      <c r="J116" s="301" t="e">
        <f t="shared" si="55"/>
        <v>#DIV/0!</v>
      </c>
      <c r="K116" s="302"/>
      <c r="L116" s="300">
        <v>8546.63</v>
      </c>
      <c r="M116" s="291" t="e">
        <f t="shared" si="56"/>
        <v>#DIV/0!</v>
      </c>
      <c r="N116" s="300"/>
      <c r="O116" s="300">
        <v>27373.12</v>
      </c>
      <c r="P116" s="291" t="e">
        <f t="shared" si="57"/>
        <v>#DIV/0!</v>
      </c>
      <c r="Q116" s="280"/>
      <c r="R116" s="280">
        <f>O116+L116+I116</f>
        <v>35919.75</v>
      </c>
      <c r="S116" s="292" t="e">
        <f t="shared" si="73"/>
        <v>#DIV/0!</v>
      </c>
      <c r="T116" s="300"/>
      <c r="U116" s="304"/>
      <c r="V116" s="291" t="e">
        <f t="shared" si="58"/>
        <v>#DIV/0!</v>
      </c>
      <c r="W116" s="300"/>
      <c r="X116" s="304"/>
      <c r="Y116" s="291" t="e">
        <f t="shared" si="59"/>
        <v>#DIV/0!</v>
      </c>
      <c r="Z116" s="300"/>
      <c r="AA116" s="304"/>
      <c r="AB116" s="291" t="e">
        <f t="shared" si="60"/>
        <v>#DIV/0!</v>
      </c>
      <c r="AC116" s="280">
        <f>Z116+W116+T116</f>
        <v>0</v>
      </c>
      <c r="AD116" s="280">
        <f>AA116+X116+U116</f>
        <v>0</v>
      </c>
      <c r="AE116" s="292" t="e">
        <f t="shared" si="86"/>
        <v>#DIV/0!</v>
      </c>
      <c r="AF116" s="300"/>
      <c r="AG116" s="304"/>
      <c r="AH116" s="293" t="e">
        <f t="shared" si="61"/>
        <v>#DIV/0!</v>
      </c>
      <c r="AI116" s="300"/>
      <c r="AJ116" s="304"/>
      <c r="AK116" s="294" t="e">
        <f t="shared" si="62"/>
        <v>#DIV/0!</v>
      </c>
      <c r="AL116" s="90"/>
      <c r="AM116" s="90"/>
      <c r="AN116" s="295" t="e">
        <f t="shared" si="63"/>
        <v>#DIV/0!</v>
      </c>
      <c r="AO116" s="300"/>
      <c r="AP116" s="300"/>
      <c r="AQ116" s="292" t="e">
        <f t="shared" si="49"/>
        <v>#DIV/0!</v>
      </c>
      <c r="AR116" s="300"/>
      <c r="AS116" s="300"/>
      <c r="AT116" s="295" t="e">
        <f t="shared" si="64"/>
        <v>#DIV/0!</v>
      </c>
      <c r="AU116" s="300"/>
      <c r="AV116" s="300"/>
      <c r="AW116" s="295" t="e">
        <f t="shared" si="65"/>
        <v>#DIV/0!</v>
      </c>
      <c r="AX116" s="300"/>
      <c r="AY116" s="304"/>
      <c r="AZ116" s="294" t="e">
        <f t="shared" si="66"/>
        <v>#DIV/0!</v>
      </c>
      <c r="BA116" s="280"/>
      <c r="BB116" s="280"/>
      <c r="BC116" s="292" t="e">
        <f t="shared" si="50"/>
        <v>#DIV/0!</v>
      </c>
      <c r="BD116" s="304">
        <f>I116+L116+O116+U116+X116+AA116+AG116+AJ116+AM116+AS116+AV116+AY116</f>
        <v>35919.75</v>
      </c>
      <c r="BE116" s="296">
        <f t="shared" si="67"/>
        <v>0.10262785714285715</v>
      </c>
      <c r="BF116" s="308">
        <f t="shared" si="72"/>
        <v>314080.25</v>
      </c>
    </row>
    <row r="117" spans="1:58" ht="13.5" thickBot="1">
      <c r="A117" s="298"/>
      <c r="B117" s="299"/>
      <c r="C117" s="299"/>
      <c r="D117" s="299"/>
      <c r="E117" s="403"/>
      <c r="F117" s="90"/>
      <c r="G117" s="300"/>
      <c r="H117" s="300"/>
      <c r="I117" s="304"/>
      <c r="J117" s="289"/>
      <c r="K117" s="302"/>
      <c r="L117" s="300"/>
      <c r="M117" s="291"/>
      <c r="N117" s="300"/>
      <c r="O117" s="300"/>
      <c r="P117" s="291"/>
      <c r="Q117" s="280"/>
      <c r="R117" s="280"/>
      <c r="S117" s="292"/>
      <c r="T117" s="300"/>
      <c r="U117" s="304"/>
      <c r="V117" s="291"/>
      <c r="W117" s="300"/>
      <c r="X117" s="304"/>
      <c r="Y117" s="291"/>
      <c r="Z117" s="300"/>
      <c r="AA117" s="304"/>
      <c r="AB117" s="291"/>
      <c r="AC117" s="280"/>
      <c r="AD117" s="280"/>
      <c r="AE117" s="292"/>
      <c r="AF117" s="300"/>
      <c r="AG117" s="304"/>
      <c r="AH117" s="293"/>
      <c r="AI117" s="300"/>
      <c r="AJ117" s="304"/>
      <c r="AK117" s="294"/>
      <c r="AL117" s="90"/>
      <c r="AM117" s="90"/>
      <c r="AN117" s="295"/>
      <c r="AO117" s="300"/>
      <c r="AP117" s="300"/>
      <c r="AQ117" s="292"/>
      <c r="AR117" s="300"/>
      <c r="AS117" s="300"/>
      <c r="AT117" s="295"/>
      <c r="AU117" s="300"/>
      <c r="AV117" s="300"/>
      <c r="AW117" s="295"/>
      <c r="AX117" s="300"/>
      <c r="AY117" s="304"/>
      <c r="AZ117" s="294"/>
      <c r="BA117" s="280"/>
      <c r="BB117" s="280"/>
      <c r="BC117" s="292"/>
      <c r="BD117" s="304"/>
      <c r="BE117" s="296"/>
      <c r="BF117" s="308"/>
    </row>
    <row r="118" spans="1:58" ht="13.5" thickBot="1">
      <c r="A118" s="286">
        <v>2</v>
      </c>
      <c r="B118" s="231">
        <v>3</v>
      </c>
      <c r="C118" s="231">
        <v>1</v>
      </c>
      <c r="D118" s="231">
        <v>3</v>
      </c>
      <c r="E118" s="401"/>
      <c r="F118" s="155" t="s">
        <v>12</v>
      </c>
      <c r="G118" s="287">
        <f>G119</f>
        <v>15000</v>
      </c>
      <c r="H118" s="287">
        <f>H119</f>
        <v>0</v>
      </c>
      <c r="I118" s="288">
        <f>I119</f>
        <v>0</v>
      </c>
      <c r="J118" s="289" t="e">
        <f t="shared" si="55"/>
        <v>#DIV/0!</v>
      </c>
      <c r="K118" s="290">
        <f>K119</f>
        <v>0</v>
      </c>
      <c r="L118" s="287">
        <f>L119</f>
        <v>0</v>
      </c>
      <c r="M118" s="291" t="e">
        <f t="shared" si="56"/>
        <v>#DIV/0!</v>
      </c>
      <c r="N118" s="287">
        <f>N119</f>
        <v>0</v>
      </c>
      <c r="O118" s="287">
        <f>O119</f>
        <v>0</v>
      </c>
      <c r="P118" s="291" t="e">
        <f t="shared" si="57"/>
        <v>#DIV/0!</v>
      </c>
      <c r="Q118" s="287">
        <f>Q119</f>
        <v>0</v>
      </c>
      <c r="R118" s="287">
        <f>R119</f>
        <v>0</v>
      </c>
      <c r="S118" s="292" t="e">
        <f t="shared" si="73"/>
        <v>#DIV/0!</v>
      </c>
      <c r="T118" s="287">
        <f>T119</f>
        <v>0</v>
      </c>
      <c r="U118" s="288">
        <f>U119</f>
        <v>0</v>
      </c>
      <c r="V118" s="291" t="e">
        <f t="shared" si="58"/>
        <v>#DIV/0!</v>
      </c>
      <c r="W118" s="287">
        <f>W119</f>
        <v>0</v>
      </c>
      <c r="X118" s="288">
        <f>X119</f>
        <v>0</v>
      </c>
      <c r="Y118" s="291" t="e">
        <f t="shared" si="59"/>
        <v>#DIV/0!</v>
      </c>
      <c r="Z118" s="287">
        <f>Z119</f>
        <v>0</v>
      </c>
      <c r="AA118" s="288">
        <f>AA119</f>
        <v>0</v>
      </c>
      <c r="AB118" s="291" t="e">
        <f t="shared" si="60"/>
        <v>#DIV/0!</v>
      </c>
      <c r="AC118" s="287">
        <f>AC119</f>
        <v>0</v>
      </c>
      <c r="AD118" s="287">
        <f>AD119</f>
        <v>0</v>
      </c>
      <c r="AE118" s="292" t="e">
        <f t="shared" si="86"/>
        <v>#DIV/0!</v>
      </c>
      <c r="AF118" s="287">
        <f>AF119</f>
        <v>0</v>
      </c>
      <c r="AG118" s="288">
        <f>AG119</f>
        <v>0</v>
      </c>
      <c r="AH118" s="293" t="e">
        <f t="shared" si="61"/>
        <v>#DIV/0!</v>
      </c>
      <c r="AI118" s="287">
        <f>AI119</f>
        <v>0</v>
      </c>
      <c r="AJ118" s="288">
        <f>AJ119</f>
        <v>0</v>
      </c>
      <c r="AK118" s="294" t="e">
        <f t="shared" si="62"/>
        <v>#DIV/0!</v>
      </c>
      <c r="AL118" s="287">
        <f>AL119</f>
        <v>0</v>
      </c>
      <c r="AM118" s="287">
        <f>AM119</f>
        <v>0</v>
      </c>
      <c r="AN118" s="295" t="e">
        <f t="shared" si="63"/>
        <v>#DIV/0!</v>
      </c>
      <c r="AO118" s="287">
        <f>AO119</f>
        <v>0</v>
      </c>
      <c r="AP118" s="287">
        <f>AP119</f>
        <v>0</v>
      </c>
      <c r="AQ118" s="292" t="e">
        <f t="shared" si="49"/>
        <v>#DIV/0!</v>
      </c>
      <c r="AR118" s="287"/>
      <c r="AS118" s="287"/>
      <c r="AT118" s="295" t="e">
        <f t="shared" si="64"/>
        <v>#DIV/0!</v>
      </c>
      <c r="AU118" s="287"/>
      <c r="AV118" s="287"/>
      <c r="AW118" s="295" t="e">
        <f t="shared" si="65"/>
        <v>#DIV/0!</v>
      </c>
      <c r="AX118" s="287">
        <f>AX119</f>
        <v>0</v>
      </c>
      <c r="AY118" s="288">
        <f>AY119</f>
        <v>0</v>
      </c>
      <c r="AZ118" s="294" t="e">
        <f t="shared" si="66"/>
        <v>#DIV/0!</v>
      </c>
      <c r="BA118" s="287">
        <f>BA119</f>
        <v>0</v>
      </c>
      <c r="BB118" s="287">
        <f>BB119</f>
        <v>0</v>
      </c>
      <c r="BC118" s="292" t="e">
        <f t="shared" si="50"/>
        <v>#DIV/0!</v>
      </c>
      <c r="BD118" s="288">
        <f>BD119</f>
        <v>0</v>
      </c>
      <c r="BE118" s="296">
        <f t="shared" si="67"/>
        <v>0</v>
      </c>
      <c r="BF118" s="297">
        <f t="shared" si="72"/>
        <v>15000</v>
      </c>
    </row>
    <row r="119" spans="1:58" ht="19.5" thickBot="1">
      <c r="A119" s="298">
        <v>2</v>
      </c>
      <c r="B119" s="299">
        <v>3</v>
      </c>
      <c r="C119" s="299">
        <v>1</v>
      </c>
      <c r="D119" s="299">
        <v>3</v>
      </c>
      <c r="E119" s="402" t="s">
        <v>151</v>
      </c>
      <c r="F119" s="90" t="s">
        <v>98</v>
      </c>
      <c r="G119" s="300">
        <v>15000</v>
      </c>
      <c r="H119" s="300"/>
      <c r="I119" s="304"/>
      <c r="J119" s="289" t="e">
        <f t="shared" si="55"/>
        <v>#DIV/0!</v>
      </c>
      <c r="K119" s="302"/>
      <c r="L119" s="300"/>
      <c r="M119" s="291" t="e">
        <f t="shared" si="56"/>
        <v>#DIV/0!</v>
      </c>
      <c r="N119" s="300"/>
      <c r="O119" s="300"/>
      <c r="P119" s="291" t="e">
        <f t="shared" si="57"/>
        <v>#DIV/0!</v>
      </c>
      <c r="Q119" s="280">
        <f>N119+K119+H119</f>
        <v>0</v>
      </c>
      <c r="R119" s="280">
        <f>O119+L119+I119</f>
        <v>0</v>
      </c>
      <c r="S119" s="292" t="e">
        <f t="shared" si="73"/>
        <v>#DIV/0!</v>
      </c>
      <c r="T119" s="300"/>
      <c r="U119" s="304"/>
      <c r="V119" s="291" t="e">
        <f t="shared" si="58"/>
        <v>#DIV/0!</v>
      </c>
      <c r="W119" s="300"/>
      <c r="X119" s="304"/>
      <c r="Y119" s="291" t="e">
        <f t="shared" si="59"/>
        <v>#DIV/0!</v>
      </c>
      <c r="Z119" s="300"/>
      <c r="AA119" s="304"/>
      <c r="AB119" s="291" t="e">
        <f t="shared" si="60"/>
        <v>#DIV/0!</v>
      </c>
      <c r="AC119" s="280">
        <f>Z119+W119+T119</f>
        <v>0</v>
      </c>
      <c r="AD119" s="280">
        <f>AA119+X119+U119</f>
        <v>0</v>
      </c>
      <c r="AE119" s="292" t="e">
        <f t="shared" si="86"/>
        <v>#DIV/0!</v>
      </c>
      <c r="AF119" s="300"/>
      <c r="AG119" s="304"/>
      <c r="AH119" s="293" t="e">
        <f t="shared" si="61"/>
        <v>#DIV/0!</v>
      </c>
      <c r="AI119" s="300"/>
      <c r="AJ119" s="304"/>
      <c r="AK119" s="294" t="e">
        <f t="shared" si="62"/>
        <v>#DIV/0!</v>
      </c>
      <c r="AL119" s="90"/>
      <c r="AM119" s="90"/>
      <c r="AN119" s="295" t="e">
        <f t="shared" si="63"/>
        <v>#DIV/0!</v>
      </c>
      <c r="AO119" s="300">
        <f>AL119+AI119+AF119</f>
        <v>0</v>
      </c>
      <c r="AP119" s="300"/>
      <c r="AQ119" s="292" t="e">
        <f t="shared" si="49"/>
        <v>#DIV/0!</v>
      </c>
      <c r="AR119" s="300"/>
      <c r="AS119" s="300"/>
      <c r="AT119" s="295" t="e">
        <f t="shared" si="64"/>
        <v>#DIV/0!</v>
      </c>
      <c r="AU119" s="300"/>
      <c r="AV119" s="300"/>
      <c r="AW119" s="295" t="e">
        <f t="shared" si="65"/>
        <v>#DIV/0!</v>
      </c>
      <c r="AX119" s="300"/>
      <c r="AY119" s="304"/>
      <c r="AZ119" s="294" t="e">
        <f t="shared" si="66"/>
        <v>#DIV/0!</v>
      </c>
      <c r="BA119" s="280">
        <f>AX119+AU119+AR119</f>
        <v>0</v>
      </c>
      <c r="BB119" s="280"/>
      <c r="BC119" s="292" t="e">
        <f t="shared" si="50"/>
        <v>#DIV/0!</v>
      </c>
      <c r="BD119" s="304">
        <f>I119+L119+O119+U119+X119+AA119+AG119+AJ119+AM119+AS119+AV119+AY119</f>
        <v>0</v>
      </c>
      <c r="BE119" s="296">
        <f t="shared" si="67"/>
        <v>0</v>
      </c>
      <c r="BF119" s="308">
        <f t="shared" si="72"/>
        <v>15000</v>
      </c>
    </row>
    <row r="120" spans="1:58" ht="13.5" thickBot="1">
      <c r="A120" s="298"/>
      <c r="B120" s="299"/>
      <c r="C120" s="299"/>
      <c r="D120" s="299"/>
      <c r="E120" s="403"/>
      <c r="F120" s="155"/>
      <c r="G120" s="287"/>
      <c r="H120" s="287"/>
      <c r="I120" s="304"/>
      <c r="J120" s="289"/>
      <c r="K120" s="302"/>
      <c r="L120" s="300"/>
      <c r="M120" s="291"/>
      <c r="N120" s="300"/>
      <c r="O120" s="300"/>
      <c r="P120" s="291"/>
      <c r="Q120" s="280"/>
      <c r="R120" s="280"/>
      <c r="S120" s="292"/>
      <c r="T120" s="287"/>
      <c r="U120" s="304"/>
      <c r="V120" s="291"/>
      <c r="W120" s="287"/>
      <c r="X120" s="304"/>
      <c r="Y120" s="291"/>
      <c r="Z120" s="287"/>
      <c r="AA120" s="304"/>
      <c r="AB120" s="291"/>
      <c r="AC120" s="280"/>
      <c r="AD120" s="280"/>
      <c r="AE120" s="292"/>
      <c r="AF120" s="287"/>
      <c r="AG120" s="304"/>
      <c r="AH120" s="293"/>
      <c r="AI120" s="287"/>
      <c r="AJ120" s="304"/>
      <c r="AK120" s="294"/>
      <c r="AL120" s="90"/>
      <c r="AM120" s="90"/>
      <c r="AN120" s="295"/>
      <c r="AO120" s="300"/>
      <c r="AP120" s="300"/>
      <c r="AQ120" s="292"/>
      <c r="AR120" s="300"/>
      <c r="AS120" s="300"/>
      <c r="AT120" s="295"/>
      <c r="AU120" s="300"/>
      <c r="AV120" s="300"/>
      <c r="AW120" s="295"/>
      <c r="AX120" s="300"/>
      <c r="AY120" s="304"/>
      <c r="AZ120" s="294"/>
      <c r="BA120" s="280"/>
      <c r="BB120" s="280"/>
      <c r="BC120" s="292"/>
      <c r="BD120" s="288"/>
      <c r="BE120" s="296"/>
      <c r="BF120" s="308"/>
    </row>
    <row r="121" spans="1:58" ht="13.5" thickBot="1">
      <c r="A121" s="286">
        <v>2</v>
      </c>
      <c r="B121" s="231">
        <v>3</v>
      </c>
      <c r="C121" s="231">
        <v>2</v>
      </c>
      <c r="D121" s="299"/>
      <c r="E121" s="403"/>
      <c r="F121" s="155" t="s">
        <v>99</v>
      </c>
      <c r="G121" s="287">
        <f>+G122</f>
        <v>150000</v>
      </c>
      <c r="H121" s="287">
        <f>+H122</f>
        <v>0</v>
      </c>
      <c r="I121" s="288">
        <f>+I122</f>
        <v>0</v>
      </c>
      <c r="J121" s="289" t="e">
        <f t="shared" si="55"/>
        <v>#DIV/0!</v>
      </c>
      <c r="K121" s="290">
        <f>+K122</f>
        <v>0</v>
      </c>
      <c r="L121" s="287">
        <f>+L122</f>
        <v>0</v>
      </c>
      <c r="M121" s="291" t="e">
        <f t="shared" si="56"/>
        <v>#DIV/0!</v>
      </c>
      <c r="N121" s="287">
        <f>+N122</f>
        <v>0</v>
      </c>
      <c r="O121" s="287">
        <f>+O122</f>
        <v>0</v>
      </c>
      <c r="P121" s="291" t="e">
        <f t="shared" si="57"/>
        <v>#DIV/0!</v>
      </c>
      <c r="Q121" s="287">
        <f>+Q122</f>
        <v>0</v>
      </c>
      <c r="R121" s="287">
        <f>+R122</f>
        <v>0</v>
      </c>
      <c r="S121" s="292" t="e">
        <f t="shared" si="73"/>
        <v>#DIV/0!</v>
      </c>
      <c r="T121" s="287">
        <f>+T122</f>
        <v>0</v>
      </c>
      <c r="U121" s="288">
        <f>+U122</f>
        <v>0</v>
      </c>
      <c r="V121" s="291" t="e">
        <f t="shared" si="58"/>
        <v>#DIV/0!</v>
      </c>
      <c r="W121" s="287">
        <f>+W122</f>
        <v>0</v>
      </c>
      <c r="X121" s="288">
        <f>+X122</f>
        <v>0</v>
      </c>
      <c r="Y121" s="291" t="e">
        <f t="shared" si="59"/>
        <v>#DIV/0!</v>
      </c>
      <c r="Z121" s="287">
        <f>+Z122</f>
        <v>0</v>
      </c>
      <c r="AA121" s="288">
        <f>+AA122</f>
        <v>0</v>
      </c>
      <c r="AB121" s="291" t="e">
        <f t="shared" si="60"/>
        <v>#DIV/0!</v>
      </c>
      <c r="AC121" s="287">
        <f>+AC122</f>
        <v>0</v>
      </c>
      <c r="AD121" s="287">
        <f>+AD122</f>
        <v>0</v>
      </c>
      <c r="AE121" s="292" t="e">
        <f t="shared" si="86"/>
        <v>#DIV/0!</v>
      </c>
      <c r="AF121" s="287">
        <f>+AF122</f>
        <v>0</v>
      </c>
      <c r="AG121" s="288">
        <f>+AG122</f>
        <v>0</v>
      </c>
      <c r="AH121" s="293" t="e">
        <f t="shared" si="61"/>
        <v>#DIV/0!</v>
      </c>
      <c r="AI121" s="287">
        <f>+AI122</f>
        <v>0</v>
      </c>
      <c r="AJ121" s="288">
        <f>+AJ122</f>
        <v>0</v>
      </c>
      <c r="AK121" s="294" t="e">
        <f t="shared" si="62"/>
        <v>#DIV/0!</v>
      </c>
      <c r="AL121" s="287">
        <f>+AL122</f>
        <v>0</v>
      </c>
      <c r="AM121" s="287">
        <f>+AM122</f>
        <v>0</v>
      </c>
      <c r="AN121" s="295" t="e">
        <f t="shared" si="63"/>
        <v>#DIV/0!</v>
      </c>
      <c r="AO121" s="287">
        <f>+AO122</f>
        <v>0</v>
      </c>
      <c r="AP121" s="287">
        <f>+AP122</f>
        <v>0</v>
      </c>
      <c r="AQ121" s="292" t="e">
        <f t="shared" si="49"/>
        <v>#DIV/0!</v>
      </c>
      <c r="AR121" s="287"/>
      <c r="AS121" s="287"/>
      <c r="AT121" s="295" t="e">
        <f t="shared" si="64"/>
        <v>#DIV/0!</v>
      </c>
      <c r="AU121" s="287"/>
      <c r="AV121" s="287"/>
      <c r="AW121" s="295" t="e">
        <f t="shared" si="65"/>
        <v>#DIV/0!</v>
      </c>
      <c r="AX121" s="287">
        <f>+AX122</f>
        <v>0</v>
      </c>
      <c r="AY121" s="288">
        <f>+AY122</f>
        <v>0</v>
      </c>
      <c r="AZ121" s="294" t="e">
        <f t="shared" si="66"/>
        <v>#DIV/0!</v>
      </c>
      <c r="BA121" s="287">
        <f>+BA122</f>
        <v>0</v>
      </c>
      <c r="BB121" s="287">
        <f>+BB122</f>
        <v>0</v>
      </c>
      <c r="BC121" s="292" t="e">
        <f t="shared" si="50"/>
        <v>#DIV/0!</v>
      </c>
      <c r="BD121" s="288">
        <f>+BD122</f>
        <v>0</v>
      </c>
      <c r="BE121" s="296">
        <f t="shared" si="67"/>
        <v>0</v>
      </c>
      <c r="BF121" s="308">
        <f t="shared" si="72"/>
        <v>150000</v>
      </c>
    </row>
    <row r="122" spans="1:58" ht="13.5" thickBot="1">
      <c r="A122" s="298">
        <v>2</v>
      </c>
      <c r="B122" s="299">
        <v>3</v>
      </c>
      <c r="C122" s="299">
        <v>2</v>
      </c>
      <c r="D122" s="299">
        <v>3</v>
      </c>
      <c r="E122" s="403"/>
      <c r="F122" s="90" t="s">
        <v>100</v>
      </c>
      <c r="G122" s="300">
        <v>150000</v>
      </c>
      <c r="H122" s="300"/>
      <c r="I122" s="304"/>
      <c r="J122" s="289" t="e">
        <f t="shared" si="55"/>
        <v>#DIV/0!</v>
      </c>
      <c r="K122" s="302"/>
      <c r="L122" s="300"/>
      <c r="M122" s="291" t="e">
        <f t="shared" si="56"/>
        <v>#DIV/0!</v>
      </c>
      <c r="N122" s="300"/>
      <c r="O122" s="300"/>
      <c r="P122" s="291" t="e">
        <f t="shared" si="57"/>
        <v>#DIV/0!</v>
      </c>
      <c r="Q122" s="280">
        <f>N122+K122+H122</f>
        <v>0</v>
      </c>
      <c r="R122" s="280">
        <f>O122+L122+I122</f>
        <v>0</v>
      </c>
      <c r="S122" s="292" t="e">
        <f t="shared" si="73"/>
        <v>#DIV/0!</v>
      </c>
      <c r="T122" s="300"/>
      <c r="U122" s="304"/>
      <c r="V122" s="291" t="e">
        <f t="shared" si="58"/>
        <v>#DIV/0!</v>
      </c>
      <c r="W122" s="300"/>
      <c r="X122" s="304"/>
      <c r="Y122" s="291" t="e">
        <f t="shared" si="59"/>
        <v>#DIV/0!</v>
      </c>
      <c r="Z122" s="300"/>
      <c r="AA122" s="304"/>
      <c r="AB122" s="291" t="e">
        <f t="shared" si="60"/>
        <v>#DIV/0!</v>
      </c>
      <c r="AC122" s="280">
        <f>W122+T122</f>
        <v>0</v>
      </c>
      <c r="AD122" s="280">
        <f>AA122+X122+U122</f>
        <v>0</v>
      </c>
      <c r="AE122" s="292" t="e">
        <f t="shared" si="86"/>
        <v>#DIV/0!</v>
      </c>
      <c r="AF122" s="300"/>
      <c r="AG122" s="304"/>
      <c r="AH122" s="293" t="e">
        <f t="shared" si="61"/>
        <v>#DIV/0!</v>
      </c>
      <c r="AI122" s="300"/>
      <c r="AJ122" s="304"/>
      <c r="AK122" s="294" t="e">
        <f t="shared" si="62"/>
        <v>#DIV/0!</v>
      </c>
      <c r="AL122" s="90"/>
      <c r="AM122" s="90"/>
      <c r="AN122" s="295" t="e">
        <f t="shared" si="63"/>
        <v>#DIV/0!</v>
      </c>
      <c r="AO122" s="300">
        <f>AL122+AI122+AF122</f>
        <v>0</v>
      </c>
      <c r="AP122" s="300">
        <f>AM122+AJ122+AG122</f>
        <v>0</v>
      </c>
      <c r="AQ122" s="292" t="e">
        <f t="shared" si="49"/>
        <v>#DIV/0!</v>
      </c>
      <c r="AR122" s="300"/>
      <c r="AS122" s="300"/>
      <c r="AT122" s="295" t="e">
        <f t="shared" si="64"/>
        <v>#DIV/0!</v>
      </c>
      <c r="AU122" s="300"/>
      <c r="AV122" s="300"/>
      <c r="AW122" s="295" t="e">
        <f t="shared" si="65"/>
        <v>#DIV/0!</v>
      </c>
      <c r="AX122" s="300"/>
      <c r="AY122" s="304"/>
      <c r="AZ122" s="294" t="e">
        <f t="shared" si="66"/>
        <v>#DIV/0!</v>
      </c>
      <c r="BA122" s="280">
        <f>AX122+AU122+AR122</f>
        <v>0</v>
      </c>
      <c r="BB122" s="280">
        <f>AY122+AV122+AS122</f>
        <v>0</v>
      </c>
      <c r="BC122" s="292" t="e">
        <f t="shared" si="50"/>
        <v>#DIV/0!</v>
      </c>
      <c r="BD122" s="304">
        <v>0</v>
      </c>
      <c r="BE122" s="296">
        <f t="shared" si="67"/>
        <v>0</v>
      </c>
      <c r="BF122" s="308">
        <f t="shared" si="72"/>
        <v>150000</v>
      </c>
    </row>
    <row r="123" spans="1:58" ht="13.5" thickBot="1">
      <c r="A123" s="298"/>
      <c r="B123" s="299"/>
      <c r="C123" s="299"/>
      <c r="D123" s="299"/>
      <c r="E123" s="403"/>
      <c r="F123" s="155"/>
      <c r="G123" s="287"/>
      <c r="H123" s="287"/>
      <c r="I123" s="304"/>
      <c r="J123" s="289"/>
      <c r="K123" s="302"/>
      <c r="L123" s="300"/>
      <c r="M123" s="291"/>
      <c r="N123" s="300"/>
      <c r="O123" s="300"/>
      <c r="P123" s="291"/>
      <c r="Q123" s="280"/>
      <c r="R123" s="280"/>
      <c r="S123" s="292"/>
      <c r="T123" s="287"/>
      <c r="U123" s="304"/>
      <c r="V123" s="291"/>
      <c r="W123" s="287"/>
      <c r="X123" s="304"/>
      <c r="Y123" s="291"/>
      <c r="Z123" s="287"/>
      <c r="AA123" s="304"/>
      <c r="AB123" s="291"/>
      <c r="AC123" s="280"/>
      <c r="AD123" s="280"/>
      <c r="AE123" s="292"/>
      <c r="AF123" s="287"/>
      <c r="AG123" s="304"/>
      <c r="AH123" s="293"/>
      <c r="AI123" s="287"/>
      <c r="AJ123" s="304"/>
      <c r="AK123" s="294"/>
      <c r="AL123" s="90"/>
      <c r="AM123" s="90"/>
      <c r="AN123" s="295"/>
      <c r="AO123" s="300"/>
      <c r="AP123" s="300"/>
      <c r="AQ123" s="292"/>
      <c r="AR123" s="300"/>
      <c r="AS123" s="300"/>
      <c r="AT123" s="295"/>
      <c r="AU123" s="300"/>
      <c r="AV123" s="300"/>
      <c r="AW123" s="295"/>
      <c r="AX123" s="300"/>
      <c r="AY123" s="304"/>
      <c r="AZ123" s="294"/>
      <c r="BA123" s="280"/>
      <c r="BB123" s="280"/>
      <c r="BC123" s="292"/>
      <c r="BD123" s="288"/>
      <c r="BE123" s="296"/>
      <c r="BF123" s="308"/>
    </row>
    <row r="124" spans="1:58" ht="13.5" thickBot="1">
      <c r="A124" s="286">
        <v>2</v>
      </c>
      <c r="B124" s="231">
        <v>3</v>
      </c>
      <c r="C124" s="231">
        <v>3</v>
      </c>
      <c r="D124" s="299"/>
      <c r="E124" s="403"/>
      <c r="F124" s="155" t="s">
        <v>122</v>
      </c>
      <c r="G124" s="287">
        <f>G125+G126+G127+G128</f>
        <v>190000</v>
      </c>
      <c r="H124" s="287">
        <f>H125+H126+H127+H128</f>
        <v>0</v>
      </c>
      <c r="I124" s="288">
        <f>I125+I126+I127+I128</f>
        <v>0</v>
      </c>
      <c r="J124" s="289" t="e">
        <f t="shared" si="55"/>
        <v>#DIV/0!</v>
      </c>
      <c r="K124" s="290">
        <f>K125+K126+K127+K128</f>
        <v>0</v>
      </c>
      <c r="L124" s="287">
        <f>L125+L126+L127+L128</f>
        <v>149.95</v>
      </c>
      <c r="M124" s="291" t="e">
        <f t="shared" si="56"/>
        <v>#DIV/0!</v>
      </c>
      <c r="N124" s="287">
        <f>N125+N126+N127+N128</f>
        <v>0</v>
      </c>
      <c r="O124" s="287">
        <f>O125+O126+O127+O128</f>
        <v>499.95</v>
      </c>
      <c r="P124" s="291" t="e">
        <f t="shared" si="57"/>
        <v>#DIV/0!</v>
      </c>
      <c r="Q124" s="287">
        <f>Q125+Q126+Q127+Q128</f>
        <v>0</v>
      </c>
      <c r="R124" s="287">
        <f>R125+R126+R127+R128</f>
        <v>649.9</v>
      </c>
      <c r="S124" s="292" t="e">
        <f t="shared" si="73"/>
        <v>#DIV/0!</v>
      </c>
      <c r="T124" s="287">
        <f>T125+T126+T127+T128</f>
        <v>0</v>
      </c>
      <c r="U124" s="288">
        <f>U125+U126+U127+U128</f>
        <v>0</v>
      </c>
      <c r="V124" s="291" t="e">
        <f t="shared" si="58"/>
        <v>#DIV/0!</v>
      </c>
      <c r="W124" s="287">
        <f>W125+W126+W127+W128</f>
        <v>0</v>
      </c>
      <c r="X124" s="288">
        <f>X125+X126+X127+X128</f>
        <v>0</v>
      </c>
      <c r="Y124" s="291" t="e">
        <f t="shared" si="59"/>
        <v>#DIV/0!</v>
      </c>
      <c r="Z124" s="287">
        <f>Z125+Z126+Z127+Z128</f>
        <v>0</v>
      </c>
      <c r="AA124" s="288">
        <f>AA125+AA126+AA127+AA128</f>
        <v>0</v>
      </c>
      <c r="AB124" s="291" t="e">
        <f t="shared" si="60"/>
        <v>#DIV/0!</v>
      </c>
      <c r="AC124" s="287">
        <f>AC125+AC126+AC127+AC128</f>
        <v>0</v>
      </c>
      <c r="AD124" s="287">
        <f>AD125+AD126+AD127+AD128</f>
        <v>0</v>
      </c>
      <c r="AE124" s="292" t="e">
        <f t="shared" si="86"/>
        <v>#DIV/0!</v>
      </c>
      <c r="AF124" s="287">
        <f>AF125+AF126+AF127+AF128</f>
        <v>0</v>
      </c>
      <c r="AG124" s="288">
        <f>AG125+AG126+AG127+AG128</f>
        <v>0</v>
      </c>
      <c r="AH124" s="293" t="e">
        <f t="shared" si="61"/>
        <v>#DIV/0!</v>
      </c>
      <c r="AI124" s="287">
        <f>AI125+AI126+AI127+AI128</f>
        <v>0</v>
      </c>
      <c r="AJ124" s="288">
        <f>AJ125+AJ126+AJ127+AJ128</f>
        <v>0</v>
      </c>
      <c r="AK124" s="294" t="e">
        <f t="shared" si="62"/>
        <v>#DIV/0!</v>
      </c>
      <c r="AL124" s="287">
        <f>AL125+AL126+AL127+AL128</f>
        <v>0</v>
      </c>
      <c r="AM124" s="287">
        <f>AM125+AM126+AM127+AM128</f>
        <v>0</v>
      </c>
      <c r="AN124" s="295" t="e">
        <f t="shared" si="63"/>
        <v>#DIV/0!</v>
      </c>
      <c r="AO124" s="287">
        <f>AO125+AO126+AO127+AO128</f>
        <v>0</v>
      </c>
      <c r="AP124" s="287">
        <f>AP125+AP126+AP127+AP128</f>
        <v>0</v>
      </c>
      <c r="AQ124" s="292" t="e">
        <f t="shared" si="49"/>
        <v>#DIV/0!</v>
      </c>
      <c r="AR124" s="287"/>
      <c r="AS124" s="287"/>
      <c r="AT124" s="295" t="e">
        <f t="shared" si="64"/>
        <v>#DIV/0!</v>
      </c>
      <c r="AU124" s="287"/>
      <c r="AV124" s="287"/>
      <c r="AW124" s="295" t="e">
        <f t="shared" si="65"/>
        <v>#DIV/0!</v>
      </c>
      <c r="AX124" s="287">
        <f>AX125+AX126+AX127+AX128</f>
        <v>0</v>
      </c>
      <c r="AY124" s="288">
        <f>AY125+AY126+AY127+AY128</f>
        <v>0</v>
      </c>
      <c r="AZ124" s="294" t="e">
        <f t="shared" si="66"/>
        <v>#DIV/0!</v>
      </c>
      <c r="BA124" s="287">
        <f>BA125+BA126+BA127+BA128</f>
        <v>0</v>
      </c>
      <c r="BB124" s="287">
        <f>BB125+BB126+BB127+BB128</f>
        <v>0</v>
      </c>
      <c r="BC124" s="292" t="e">
        <f t="shared" si="50"/>
        <v>#DIV/0!</v>
      </c>
      <c r="BD124" s="288">
        <f>BD125+BD126+BD127+BD128</f>
        <v>649.9</v>
      </c>
      <c r="BE124" s="296">
        <f t="shared" si="67"/>
        <v>0.0034205263157894737</v>
      </c>
      <c r="BF124" s="297">
        <f t="shared" si="72"/>
        <v>189350.1</v>
      </c>
    </row>
    <row r="125" spans="1:58" ht="13.5" thickBot="1">
      <c r="A125" s="286">
        <v>2</v>
      </c>
      <c r="B125" s="231">
        <v>3</v>
      </c>
      <c r="C125" s="231">
        <v>3</v>
      </c>
      <c r="D125" s="231">
        <v>1</v>
      </c>
      <c r="E125" s="401"/>
      <c r="F125" s="155" t="s">
        <v>4</v>
      </c>
      <c r="G125" s="287">
        <v>80000</v>
      </c>
      <c r="H125" s="287"/>
      <c r="I125" s="288"/>
      <c r="J125" s="289" t="e">
        <f t="shared" si="55"/>
        <v>#DIV/0!</v>
      </c>
      <c r="K125" s="290"/>
      <c r="L125" s="287"/>
      <c r="M125" s="291" t="e">
        <f t="shared" si="56"/>
        <v>#DIV/0!</v>
      </c>
      <c r="N125" s="287"/>
      <c r="O125" s="287"/>
      <c r="P125" s="291" t="e">
        <f t="shared" si="57"/>
        <v>#DIV/0!</v>
      </c>
      <c r="Q125" s="280">
        <f aca="true" t="shared" si="87" ref="Q125:R128">N125+K125+H125</f>
        <v>0</v>
      </c>
      <c r="R125" s="280">
        <f t="shared" si="87"/>
        <v>0</v>
      </c>
      <c r="S125" s="292" t="e">
        <f t="shared" si="73"/>
        <v>#DIV/0!</v>
      </c>
      <c r="T125" s="287"/>
      <c r="U125" s="288"/>
      <c r="V125" s="291" t="e">
        <f t="shared" si="58"/>
        <v>#DIV/0!</v>
      </c>
      <c r="W125" s="287"/>
      <c r="X125" s="288"/>
      <c r="Y125" s="291" t="e">
        <f t="shared" si="59"/>
        <v>#DIV/0!</v>
      </c>
      <c r="Z125" s="287"/>
      <c r="AA125" s="288"/>
      <c r="AB125" s="291" t="e">
        <f t="shared" si="60"/>
        <v>#DIV/0!</v>
      </c>
      <c r="AC125" s="280">
        <f aca="true" t="shared" si="88" ref="AC125:AD128">Z125+W125+T125</f>
        <v>0</v>
      </c>
      <c r="AD125" s="280">
        <f t="shared" si="88"/>
        <v>0</v>
      </c>
      <c r="AE125" s="292" t="e">
        <f t="shared" si="86"/>
        <v>#DIV/0!</v>
      </c>
      <c r="AF125" s="287"/>
      <c r="AG125" s="288"/>
      <c r="AH125" s="293" t="e">
        <f t="shared" si="61"/>
        <v>#DIV/0!</v>
      </c>
      <c r="AI125" s="287"/>
      <c r="AJ125" s="288"/>
      <c r="AK125" s="294" t="e">
        <f t="shared" si="62"/>
        <v>#DIV/0!</v>
      </c>
      <c r="AL125" s="155"/>
      <c r="AM125" s="155"/>
      <c r="AN125" s="295" t="e">
        <f t="shared" si="63"/>
        <v>#DIV/0!</v>
      </c>
      <c r="AO125" s="300">
        <f aca="true" t="shared" si="89" ref="AO125:AP128">AL125+AI125+AF125</f>
        <v>0</v>
      </c>
      <c r="AP125" s="300">
        <f t="shared" si="89"/>
        <v>0</v>
      </c>
      <c r="AQ125" s="292" t="e">
        <f t="shared" si="49"/>
        <v>#DIV/0!</v>
      </c>
      <c r="AR125" s="287"/>
      <c r="AS125" s="287"/>
      <c r="AT125" s="295" t="e">
        <f t="shared" si="64"/>
        <v>#DIV/0!</v>
      </c>
      <c r="AU125" s="287"/>
      <c r="AV125" s="287"/>
      <c r="AW125" s="295" t="e">
        <f t="shared" si="65"/>
        <v>#DIV/0!</v>
      </c>
      <c r="AX125" s="287"/>
      <c r="AY125" s="288"/>
      <c r="AZ125" s="294" t="e">
        <f t="shared" si="66"/>
        <v>#DIV/0!</v>
      </c>
      <c r="BA125" s="280">
        <f aca="true" t="shared" si="90" ref="BA125:BB128">AX125+AU125+AR125</f>
        <v>0</v>
      </c>
      <c r="BB125" s="280">
        <f t="shared" si="90"/>
        <v>0</v>
      </c>
      <c r="BC125" s="292" t="e">
        <f t="shared" si="50"/>
        <v>#DIV/0!</v>
      </c>
      <c r="BD125" s="304">
        <f>I125+L125+O125+U125+X125+AA125+AG125+AJ125+AM125+AS125+AV125+AY125</f>
        <v>0</v>
      </c>
      <c r="BE125" s="296">
        <f t="shared" si="67"/>
        <v>0</v>
      </c>
      <c r="BF125" s="297">
        <f t="shared" si="72"/>
        <v>80000</v>
      </c>
    </row>
    <row r="126" spans="1:58" ht="13.5" thickBot="1">
      <c r="A126" s="286">
        <v>2</v>
      </c>
      <c r="B126" s="231">
        <v>3</v>
      </c>
      <c r="C126" s="231">
        <v>3</v>
      </c>
      <c r="D126" s="231">
        <v>2</v>
      </c>
      <c r="E126" s="401"/>
      <c r="F126" s="155" t="s">
        <v>121</v>
      </c>
      <c r="G126" s="287">
        <v>50000</v>
      </c>
      <c r="H126" s="287"/>
      <c r="I126" s="288"/>
      <c r="J126" s="289" t="e">
        <f t="shared" si="55"/>
        <v>#DIV/0!</v>
      </c>
      <c r="K126" s="290"/>
      <c r="L126" s="287">
        <v>149.95</v>
      </c>
      <c r="M126" s="291" t="e">
        <f t="shared" si="56"/>
        <v>#DIV/0!</v>
      </c>
      <c r="N126" s="287"/>
      <c r="O126" s="287">
        <v>499.95</v>
      </c>
      <c r="P126" s="291" t="e">
        <f t="shared" si="57"/>
        <v>#DIV/0!</v>
      </c>
      <c r="Q126" s="280">
        <f t="shared" si="87"/>
        <v>0</v>
      </c>
      <c r="R126" s="280">
        <f t="shared" si="87"/>
        <v>649.9</v>
      </c>
      <c r="S126" s="292" t="e">
        <f t="shared" si="73"/>
        <v>#DIV/0!</v>
      </c>
      <c r="T126" s="287"/>
      <c r="U126" s="288"/>
      <c r="V126" s="291" t="e">
        <f t="shared" si="58"/>
        <v>#DIV/0!</v>
      </c>
      <c r="W126" s="287"/>
      <c r="X126" s="288"/>
      <c r="Y126" s="291" t="e">
        <f t="shared" si="59"/>
        <v>#DIV/0!</v>
      </c>
      <c r="Z126" s="287"/>
      <c r="AA126" s="288"/>
      <c r="AB126" s="291" t="e">
        <f t="shared" si="60"/>
        <v>#DIV/0!</v>
      </c>
      <c r="AC126" s="280">
        <f t="shared" si="88"/>
        <v>0</v>
      </c>
      <c r="AD126" s="280">
        <f t="shared" si="88"/>
        <v>0</v>
      </c>
      <c r="AE126" s="292" t="e">
        <f t="shared" si="86"/>
        <v>#DIV/0!</v>
      </c>
      <c r="AF126" s="287"/>
      <c r="AG126" s="288"/>
      <c r="AH126" s="293" t="e">
        <f t="shared" si="61"/>
        <v>#DIV/0!</v>
      </c>
      <c r="AI126" s="287"/>
      <c r="AJ126" s="288"/>
      <c r="AK126" s="294" t="e">
        <f t="shared" si="62"/>
        <v>#DIV/0!</v>
      </c>
      <c r="AL126" s="155"/>
      <c r="AM126" s="155"/>
      <c r="AN126" s="295" t="e">
        <f t="shared" si="63"/>
        <v>#DIV/0!</v>
      </c>
      <c r="AO126" s="300">
        <f t="shared" si="89"/>
        <v>0</v>
      </c>
      <c r="AP126" s="300">
        <f t="shared" si="89"/>
        <v>0</v>
      </c>
      <c r="AQ126" s="292" t="e">
        <f t="shared" si="49"/>
        <v>#DIV/0!</v>
      </c>
      <c r="AR126" s="287"/>
      <c r="AS126" s="287"/>
      <c r="AT126" s="295" t="e">
        <f t="shared" si="64"/>
        <v>#DIV/0!</v>
      </c>
      <c r="AU126" s="287"/>
      <c r="AV126" s="287"/>
      <c r="AW126" s="295" t="e">
        <f t="shared" si="65"/>
        <v>#DIV/0!</v>
      </c>
      <c r="AX126" s="287"/>
      <c r="AY126" s="288"/>
      <c r="AZ126" s="294" t="e">
        <f t="shared" si="66"/>
        <v>#DIV/0!</v>
      </c>
      <c r="BA126" s="280">
        <f t="shared" si="90"/>
        <v>0</v>
      </c>
      <c r="BB126" s="280">
        <f t="shared" si="90"/>
        <v>0</v>
      </c>
      <c r="BC126" s="292" t="e">
        <f t="shared" si="50"/>
        <v>#DIV/0!</v>
      </c>
      <c r="BD126" s="304">
        <f>I126+L126+O126+U126+X126+AA126+AG126+AJ126+AM126+AS126+AV126+AY126</f>
        <v>649.9</v>
      </c>
      <c r="BE126" s="296">
        <f t="shared" si="67"/>
        <v>0.012998</v>
      </c>
      <c r="BF126" s="297">
        <f t="shared" si="72"/>
        <v>49350.1</v>
      </c>
    </row>
    <row r="127" spans="1:58" ht="13.5" thickBot="1">
      <c r="A127" s="286">
        <v>2</v>
      </c>
      <c r="B127" s="231">
        <v>3</v>
      </c>
      <c r="C127" s="231">
        <v>3</v>
      </c>
      <c r="D127" s="231">
        <v>3</v>
      </c>
      <c r="E127" s="401"/>
      <c r="F127" s="155" t="s">
        <v>120</v>
      </c>
      <c r="G127" s="287">
        <v>10000</v>
      </c>
      <c r="H127" s="287"/>
      <c r="I127" s="288"/>
      <c r="J127" s="289" t="e">
        <f t="shared" si="55"/>
        <v>#DIV/0!</v>
      </c>
      <c r="K127" s="290"/>
      <c r="L127" s="287"/>
      <c r="M127" s="291" t="e">
        <f t="shared" si="56"/>
        <v>#DIV/0!</v>
      </c>
      <c r="N127" s="287"/>
      <c r="O127" s="287"/>
      <c r="P127" s="291" t="e">
        <f t="shared" si="57"/>
        <v>#DIV/0!</v>
      </c>
      <c r="Q127" s="280">
        <f t="shared" si="87"/>
        <v>0</v>
      </c>
      <c r="R127" s="280">
        <f t="shared" si="87"/>
        <v>0</v>
      </c>
      <c r="S127" s="292" t="e">
        <f t="shared" si="73"/>
        <v>#DIV/0!</v>
      </c>
      <c r="T127" s="287"/>
      <c r="U127" s="288"/>
      <c r="V127" s="291" t="e">
        <f t="shared" si="58"/>
        <v>#DIV/0!</v>
      </c>
      <c r="W127" s="287"/>
      <c r="X127" s="288"/>
      <c r="Y127" s="291" t="e">
        <f t="shared" si="59"/>
        <v>#DIV/0!</v>
      </c>
      <c r="Z127" s="287"/>
      <c r="AA127" s="288"/>
      <c r="AB127" s="291" t="e">
        <f t="shared" si="60"/>
        <v>#DIV/0!</v>
      </c>
      <c r="AC127" s="280">
        <f t="shared" si="88"/>
        <v>0</v>
      </c>
      <c r="AD127" s="280">
        <f t="shared" si="88"/>
        <v>0</v>
      </c>
      <c r="AE127" s="292" t="e">
        <f t="shared" si="86"/>
        <v>#DIV/0!</v>
      </c>
      <c r="AF127" s="287"/>
      <c r="AG127" s="288"/>
      <c r="AH127" s="293" t="e">
        <f t="shared" si="61"/>
        <v>#DIV/0!</v>
      </c>
      <c r="AI127" s="287"/>
      <c r="AJ127" s="288"/>
      <c r="AK127" s="294" t="e">
        <f t="shared" si="62"/>
        <v>#DIV/0!</v>
      </c>
      <c r="AL127" s="155"/>
      <c r="AM127" s="155"/>
      <c r="AN127" s="295" t="e">
        <f t="shared" si="63"/>
        <v>#DIV/0!</v>
      </c>
      <c r="AO127" s="300">
        <f t="shared" si="89"/>
        <v>0</v>
      </c>
      <c r="AP127" s="300">
        <f t="shared" si="89"/>
        <v>0</v>
      </c>
      <c r="AQ127" s="292" t="e">
        <f t="shared" si="49"/>
        <v>#DIV/0!</v>
      </c>
      <c r="AR127" s="287"/>
      <c r="AS127" s="287"/>
      <c r="AT127" s="295" t="e">
        <f t="shared" si="64"/>
        <v>#DIV/0!</v>
      </c>
      <c r="AU127" s="287"/>
      <c r="AV127" s="287"/>
      <c r="AW127" s="295" t="e">
        <f t="shared" si="65"/>
        <v>#DIV/0!</v>
      </c>
      <c r="AX127" s="287"/>
      <c r="AY127" s="288"/>
      <c r="AZ127" s="294" t="e">
        <f t="shared" si="66"/>
        <v>#DIV/0!</v>
      </c>
      <c r="BA127" s="280">
        <f t="shared" si="90"/>
        <v>0</v>
      </c>
      <c r="BB127" s="280">
        <f t="shared" si="90"/>
        <v>0</v>
      </c>
      <c r="BC127" s="292" t="e">
        <f t="shared" si="50"/>
        <v>#DIV/0!</v>
      </c>
      <c r="BD127" s="304">
        <f>I127+L127+O127+U127+X127+AA127+AG127+AJ127+AM127+AS127+AV127+AY127</f>
        <v>0</v>
      </c>
      <c r="BE127" s="296">
        <f t="shared" si="67"/>
        <v>0</v>
      </c>
      <c r="BF127" s="297">
        <f t="shared" si="72"/>
        <v>10000</v>
      </c>
    </row>
    <row r="128" spans="1:58" ht="13.5" thickBot="1">
      <c r="A128" s="286">
        <v>2</v>
      </c>
      <c r="B128" s="231">
        <v>3</v>
      </c>
      <c r="C128" s="231">
        <v>3</v>
      </c>
      <c r="D128" s="231">
        <v>4</v>
      </c>
      <c r="E128" s="401"/>
      <c r="F128" s="155" t="s">
        <v>101</v>
      </c>
      <c r="G128" s="287">
        <v>50000</v>
      </c>
      <c r="H128" s="287"/>
      <c r="I128" s="288"/>
      <c r="J128" s="289" t="e">
        <f t="shared" si="55"/>
        <v>#DIV/0!</v>
      </c>
      <c r="K128" s="290"/>
      <c r="L128" s="287"/>
      <c r="M128" s="291" t="e">
        <f t="shared" si="56"/>
        <v>#DIV/0!</v>
      </c>
      <c r="N128" s="287"/>
      <c r="O128" s="287"/>
      <c r="P128" s="291" t="e">
        <f t="shared" si="57"/>
        <v>#DIV/0!</v>
      </c>
      <c r="Q128" s="280">
        <f t="shared" si="87"/>
        <v>0</v>
      </c>
      <c r="R128" s="280">
        <f t="shared" si="87"/>
        <v>0</v>
      </c>
      <c r="S128" s="292" t="e">
        <f t="shared" si="73"/>
        <v>#DIV/0!</v>
      </c>
      <c r="T128" s="287"/>
      <c r="U128" s="288"/>
      <c r="V128" s="291" t="e">
        <f t="shared" si="58"/>
        <v>#DIV/0!</v>
      </c>
      <c r="W128" s="287"/>
      <c r="X128" s="288"/>
      <c r="Y128" s="291" t="e">
        <f t="shared" si="59"/>
        <v>#DIV/0!</v>
      </c>
      <c r="Z128" s="287"/>
      <c r="AA128" s="288"/>
      <c r="AB128" s="291" t="e">
        <f t="shared" si="60"/>
        <v>#DIV/0!</v>
      </c>
      <c r="AC128" s="280">
        <f t="shared" si="88"/>
        <v>0</v>
      </c>
      <c r="AD128" s="280">
        <f t="shared" si="88"/>
        <v>0</v>
      </c>
      <c r="AE128" s="292" t="e">
        <f t="shared" si="86"/>
        <v>#DIV/0!</v>
      </c>
      <c r="AF128" s="287"/>
      <c r="AG128" s="288"/>
      <c r="AH128" s="293" t="e">
        <f t="shared" si="61"/>
        <v>#DIV/0!</v>
      </c>
      <c r="AI128" s="287"/>
      <c r="AJ128" s="288"/>
      <c r="AK128" s="294" t="e">
        <f t="shared" si="62"/>
        <v>#DIV/0!</v>
      </c>
      <c r="AL128" s="155"/>
      <c r="AM128" s="155"/>
      <c r="AN128" s="295" t="e">
        <f t="shared" si="63"/>
        <v>#DIV/0!</v>
      </c>
      <c r="AO128" s="300">
        <f t="shared" si="89"/>
        <v>0</v>
      </c>
      <c r="AP128" s="300">
        <f t="shared" si="89"/>
        <v>0</v>
      </c>
      <c r="AQ128" s="292" t="e">
        <f t="shared" si="49"/>
        <v>#DIV/0!</v>
      </c>
      <c r="AR128" s="287"/>
      <c r="AS128" s="287"/>
      <c r="AT128" s="295" t="e">
        <f t="shared" si="64"/>
        <v>#DIV/0!</v>
      </c>
      <c r="AU128" s="287"/>
      <c r="AV128" s="287"/>
      <c r="AW128" s="295" t="e">
        <f t="shared" si="65"/>
        <v>#DIV/0!</v>
      </c>
      <c r="AX128" s="287"/>
      <c r="AY128" s="288"/>
      <c r="AZ128" s="294" t="e">
        <f t="shared" si="66"/>
        <v>#DIV/0!</v>
      </c>
      <c r="BA128" s="280">
        <f t="shared" si="90"/>
        <v>0</v>
      </c>
      <c r="BB128" s="280">
        <f t="shared" si="90"/>
        <v>0</v>
      </c>
      <c r="BC128" s="292" t="e">
        <f t="shared" si="50"/>
        <v>#DIV/0!</v>
      </c>
      <c r="BD128" s="304">
        <f>I128+L128+O128+U128+X128+AA128+AG128+AJ128+AM128+AS128+AV128+AY128</f>
        <v>0</v>
      </c>
      <c r="BE128" s="296">
        <f t="shared" si="67"/>
        <v>0</v>
      </c>
      <c r="BF128" s="308">
        <f t="shared" si="72"/>
        <v>50000</v>
      </c>
    </row>
    <row r="129" spans="1:58" ht="13.5" thickBot="1">
      <c r="A129" s="298"/>
      <c r="B129" s="299"/>
      <c r="C129" s="299"/>
      <c r="D129" s="299"/>
      <c r="E129" s="403"/>
      <c r="F129" s="155"/>
      <c r="G129" s="287"/>
      <c r="H129" s="287"/>
      <c r="I129" s="304"/>
      <c r="J129" s="289"/>
      <c r="K129" s="302"/>
      <c r="L129" s="300"/>
      <c r="M129" s="291"/>
      <c r="N129" s="300"/>
      <c r="O129" s="300"/>
      <c r="P129" s="291"/>
      <c r="Q129" s="280"/>
      <c r="R129" s="280"/>
      <c r="S129" s="292"/>
      <c r="T129" s="287"/>
      <c r="U129" s="304"/>
      <c r="V129" s="291"/>
      <c r="W129" s="287"/>
      <c r="X129" s="304"/>
      <c r="Y129" s="291"/>
      <c r="Z129" s="287"/>
      <c r="AA129" s="304"/>
      <c r="AB129" s="291"/>
      <c r="AC129" s="280"/>
      <c r="AD129" s="280"/>
      <c r="AE129" s="292"/>
      <c r="AF129" s="287"/>
      <c r="AG129" s="304"/>
      <c r="AH129" s="293"/>
      <c r="AI129" s="287"/>
      <c r="AJ129" s="304"/>
      <c r="AK129" s="294"/>
      <c r="AL129" s="90"/>
      <c r="AM129" s="90"/>
      <c r="AN129" s="295"/>
      <c r="AO129" s="300"/>
      <c r="AP129" s="300"/>
      <c r="AQ129" s="292"/>
      <c r="AR129" s="300"/>
      <c r="AS129" s="300"/>
      <c r="AT129" s="295"/>
      <c r="AU129" s="300"/>
      <c r="AV129" s="300"/>
      <c r="AW129" s="295"/>
      <c r="AX129" s="300"/>
      <c r="AY129" s="304"/>
      <c r="AZ129" s="294"/>
      <c r="BA129" s="280"/>
      <c r="BB129" s="280"/>
      <c r="BC129" s="292"/>
      <c r="BD129" s="288"/>
      <c r="BE129" s="296"/>
      <c r="BF129" s="308"/>
    </row>
    <row r="130" spans="1:58" ht="13.5" thickBot="1">
      <c r="A130" s="286">
        <v>2</v>
      </c>
      <c r="B130" s="231">
        <v>3</v>
      </c>
      <c r="C130" s="231">
        <v>4</v>
      </c>
      <c r="D130" s="299"/>
      <c r="E130" s="403"/>
      <c r="F130" s="155" t="s">
        <v>163</v>
      </c>
      <c r="G130" s="287">
        <f>+G131</f>
        <v>15000</v>
      </c>
      <c r="H130" s="287">
        <f>+H131</f>
        <v>0</v>
      </c>
      <c r="I130" s="288">
        <f>+I131</f>
        <v>0</v>
      </c>
      <c r="J130" s="289" t="e">
        <f t="shared" si="55"/>
        <v>#DIV/0!</v>
      </c>
      <c r="K130" s="290">
        <f>+K131</f>
        <v>0</v>
      </c>
      <c r="L130" s="287">
        <f>+L131</f>
        <v>0</v>
      </c>
      <c r="M130" s="291" t="e">
        <f t="shared" si="56"/>
        <v>#DIV/0!</v>
      </c>
      <c r="N130" s="287">
        <f>+N131</f>
        <v>0</v>
      </c>
      <c r="O130" s="287">
        <f>+O131</f>
        <v>0</v>
      </c>
      <c r="P130" s="291" t="e">
        <f t="shared" si="57"/>
        <v>#DIV/0!</v>
      </c>
      <c r="Q130" s="287">
        <f>+Q131</f>
        <v>0</v>
      </c>
      <c r="R130" s="287">
        <f>+R131</f>
        <v>0</v>
      </c>
      <c r="S130" s="292" t="e">
        <f t="shared" si="73"/>
        <v>#DIV/0!</v>
      </c>
      <c r="T130" s="287">
        <f>+T131</f>
        <v>0</v>
      </c>
      <c r="U130" s="288">
        <f>+U131</f>
        <v>0</v>
      </c>
      <c r="V130" s="291" t="e">
        <f t="shared" si="58"/>
        <v>#DIV/0!</v>
      </c>
      <c r="W130" s="287">
        <f>+W131</f>
        <v>0</v>
      </c>
      <c r="X130" s="288">
        <f>+X131</f>
        <v>0</v>
      </c>
      <c r="Y130" s="291" t="e">
        <f t="shared" si="59"/>
        <v>#DIV/0!</v>
      </c>
      <c r="Z130" s="287">
        <f>+Z131</f>
        <v>0</v>
      </c>
      <c r="AA130" s="288">
        <f>+AA131</f>
        <v>0</v>
      </c>
      <c r="AB130" s="291" t="e">
        <f t="shared" si="60"/>
        <v>#DIV/0!</v>
      </c>
      <c r="AC130" s="287">
        <f>+AC131</f>
        <v>0</v>
      </c>
      <c r="AD130" s="287">
        <f>+AD131</f>
        <v>0</v>
      </c>
      <c r="AE130" s="292" t="e">
        <f t="shared" si="86"/>
        <v>#DIV/0!</v>
      </c>
      <c r="AF130" s="287">
        <f>+AF131</f>
        <v>0</v>
      </c>
      <c r="AG130" s="288">
        <f>+AG131</f>
        <v>0</v>
      </c>
      <c r="AH130" s="293" t="e">
        <f t="shared" si="61"/>
        <v>#DIV/0!</v>
      </c>
      <c r="AI130" s="287">
        <f>+AI131</f>
        <v>0</v>
      </c>
      <c r="AJ130" s="288">
        <f>+AJ131</f>
        <v>0</v>
      </c>
      <c r="AK130" s="294" t="e">
        <f t="shared" si="62"/>
        <v>#DIV/0!</v>
      </c>
      <c r="AL130" s="287">
        <f>+AL131</f>
        <v>0</v>
      </c>
      <c r="AM130" s="287">
        <f>+AM131</f>
        <v>0</v>
      </c>
      <c r="AN130" s="295" t="e">
        <f t="shared" si="63"/>
        <v>#DIV/0!</v>
      </c>
      <c r="AO130" s="287">
        <f>+AO131</f>
        <v>0</v>
      </c>
      <c r="AP130" s="287">
        <f>+AP131</f>
        <v>0</v>
      </c>
      <c r="AQ130" s="292" t="e">
        <f t="shared" si="49"/>
        <v>#DIV/0!</v>
      </c>
      <c r="AR130" s="287"/>
      <c r="AS130" s="287"/>
      <c r="AT130" s="295" t="e">
        <f t="shared" si="64"/>
        <v>#DIV/0!</v>
      </c>
      <c r="AU130" s="287"/>
      <c r="AV130" s="287"/>
      <c r="AW130" s="295" t="e">
        <f t="shared" si="65"/>
        <v>#DIV/0!</v>
      </c>
      <c r="AX130" s="287">
        <f>+AX131</f>
        <v>0</v>
      </c>
      <c r="AY130" s="288">
        <f>+AY131</f>
        <v>0</v>
      </c>
      <c r="AZ130" s="294" t="e">
        <f t="shared" si="66"/>
        <v>#DIV/0!</v>
      </c>
      <c r="BA130" s="287">
        <f>+BA131</f>
        <v>0</v>
      </c>
      <c r="BB130" s="287">
        <f>+BB131</f>
        <v>0</v>
      </c>
      <c r="BC130" s="292" t="e">
        <f t="shared" si="50"/>
        <v>#DIV/0!</v>
      </c>
      <c r="BD130" s="288">
        <f>+BD131</f>
        <v>0</v>
      </c>
      <c r="BE130" s="296">
        <f t="shared" si="67"/>
        <v>0</v>
      </c>
      <c r="BF130" s="297">
        <f t="shared" si="72"/>
        <v>15000</v>
      </c>
    </row>
    <row r="131" spans="1:58" ht="13.5" thickBot="1">
      <c r="A131" s="286">
        <v>2</v>
      </c>
      <c r="B131" s="231">
        <v>3</v>
      </c>
      <c r="C131" s="231">
        <v>4</v>
      </c>
      <c r="D131" s="231">
        <v>1</v>
      </c>
      <c r="E131" s="401"/>
      <c r="F131" s="155" t="s">
        <v>43</v>
      </c>
      <c r="G131" s="287">
        <v>15000</v>
      </c>
      <c r="H131" s="287"/>
      <c r="I131" s="288"/>
      <c r="J131" s="289" t="e">
        <f t="shared" si="55"/>
        <v>#DIV/0!</v>
      </c>
      <c r="K131" s="290"/>
      <c r="L131" s="287"/>
      <c r="M131" s="291" t="e">
        <f t="shared" si="56"/>
        <v>#DIV/0!</v>
      </c>
      <c r="N131" s="287"/>
      <c r="O131" s="287"/>
      <c r="P131" s="291" t="e">
        <f t="shared" si="57"/>
        <v>#DIV/0!</v>
      </c>
      <c r="Q131" s="280">
        <f>N131+K131+H131</f>
        <v>0</v>
      </c>
      <c r="R131" s="280">
        <f>O131+L131+I131</f>
        <v>0</v>
      </c>
      <c r="S131" s="292" t="e">
        <f t="shared" si="73"/>
        <v>#DIV/0!</v>
      </c>
      <c r="T131" s="287"/>
      <c r="U131" s="288"/>
      <c r="V131" s="291" t="e">
        <f t="shared" si="58"/>
        <v>#DIV/0!</v>
      </c>
      <c r="W131" s="287"/>
      <c r="X131" s="288"/>
      <c r="Y131" s="291" t="e">
        <f t="shared" si="59"/>
        <v>#DIV/0!</v>
      </c>
      <c r="Z131" s="287"/>
      <c r="AA131" s="288"/>
      <c r="AB131" s="291" t="e">
        <f t="shared" si="60"/>
        <v>#DIV/0!</v>
      </c>
      <c r="AC131" s="280">
        <f>Z131+W131+T131</f>
        <v>0</v>
      </c>
      <c r="AD131" s="280">
        <f>AA131+X131+U131</f>
        <v>0</v>
      </c>
      <c r="AE131" s="292" t="e">
        <f t="shared" si="86"/>
        <v>#DIV/0!</v>
      </c>
      <c r="AF131" s="287"/>
      <c r="AG131" s="288"/>
      <c r="AH131" s="293" t="e">
        <f t="shared" si="61"/>
        <v>#DIV/0!</v>
      </c>
      <c r="AI131" s="287"/>
      <c r="AJ131" s="288"/>
      <c r="AK131" s="294" t="e">
        <f t="shared" si="62"/>
        <v>#DIV/0!</v>
      </c>
      <c r="AL131" s="155"/>
      <c r="AM131" s="155"/>
      <c r="AN131" s="295" t="e">
        <f t="shared" si="63"/>
        <v>#DIV/0!</v>
      </c>
      <c r="AO131" s="300">
        <f>AL131+AI131+AF131</f>
        <v>0</v>
      </c>
      <c r="AP131" s="300">
        <f>AM131+AJ131+AG131</f>
        <v>0</v>
      </c>
      <c r="AQ131" s="292" t="e">
        <f t="shared" si="49"/>
        <v>#DIV/0!</v>
      </c>
      <c r="AR131" s="287"/>
      <c r="AS131" s="287"/>
      <c r="AT131" s="295" t="e">
        <f t="shared" si="64"/>
        <v>#DIV/0!</v>
      </c>
      <c r="AU131" s="287"/>
      <c r="AV131" s="287"/>
      <c r="AW131" s="295" t="e">
        <f t="shared" si="65"/>
        <v>#DIV/0!</v>
      </c>
      <c r="AX131" s="287"/>
      <c r="AY131" s="288"/>
      <c r="AZ131" s="294" t="e">
        <f t="shared" si="66"/>
        <v>#DIV/0!</v>
      </c>
      <c r="BA131" s="280">
        <f>AX131+AU131+AR131</f>
        <v>0</v>
      </c>
      <c r="BB131" s="280">
        <f>AY131+AV131+AS131</f>
        <v>0</v>
      </c>
      <c r="BC131" s="292" t="e">
        <f t="shared" si="50"/>
        <v>#DIV/0!</v>
      </c>
      <c r="BD131" s="304">
        <f>I131+L131+O131+U131+X131+AA131+AG131+AJ131+AM131+AS131+AV131+AY131</f>
        <v>0</v>
      </c>
      <c r="BE131" s="296">
        <f t="shared" si="67"/>
        <v>0</v>
      </c>
      <c r="BF131" s="297">
        <f t="shared" si="72"/>
        <v>15000</v>
      </c>
    </row>
    <row r="132" spans="1:58" ht="13.5" thickBot="1">
      <c r="A132" s="298"/>
      <c r="B132" s="299"/>
      <c r="C132" s="299"/>
      <c r="D132" s="299"/>
      <c r="E132" s="403"/>
      <c r="F132" s="155"/>
      <c r="G132" s="287"/>
      <c r="H132" s="287"/>
      <c r="I132" s="304"/>
      <c r="J132" s="289"/>
      <c r="K132" s="302"/>
      <c r="L132" s="300"/>
      <c r="M132" s="291"/>
      <c r="N132" s="300"/>
      <c r="O132" s="300"/>
      <c r="P132" s="291"/>
      <c r="Q132" s="280"/>
      <c r="R132" s="280"/>
      <c r="S132" s="292"/>
      <c r="T132" s="287"/>
      <c r="U132" s="304"/>
      <c r="V132" s="291"/>
      <c r="W132" s="287"/>
      <c r="X132" s="304"/>
      <c r="Y132" s="291"/>
      <c r="Z132" s="287"/>
      <c r="AA132" s="304"/>
      <c r="AB132" s="291"/>
      <c r="AC132" s="280"/>
      <c r="AD132" s="280"/>
      <c r="AE132" s="292"/>
      <c r="AF132" s="287"/>
      <c r="AG132" s="304"/>
      <c r="AH132" s="293"/>
      <c r="AI132" s="287"/>
      <c r="AJ132" s="304"/>
      <c r="AK132" s="294"/>
      <c r="AL132" s="90"/>
      <c r="AM132" s="90"/>
      <c r="AN132" s="295"/>
      <c r="AO132" s="300"/>
      <c r="AP132" s="300"/>
      <c r="AQ132" s="292"/>
      <c r="AR132" s="300"/>
      <c r="AS132" s="300"/>
      <c r="AT132" s="295"/>
      <c r="AU132" s="300"/>
      <c r="AV132" s="300"/>
      <c r="AW132" s="295"/>
      <c r="AX132" s="300"/>
      <c r="AY132" s="304"/>
      <c r="AZ132" s="294"/>
      <c r="BA132" s="280"/>
      <c r="BB132" s="280"/>
      <c r="BC132" s="292"/>
      <c r="BD132" s="288"/>
      <c r="BE132" s="296"/>
      <c r="BF132" s="308"/>
    </row>
    <row r="133" spans="1:58" ht="22.5" thickBot="1">
      <c r="A133" s="286">
        <v>2</v>
      </c>
      <c r="B133" s="231">
        <v>3</v>
      </c>
      <c r="C133" s="231">
        <v>5</v>
      </c>
      <c r="D133" s="299"/>
      <c r="E133" s="403"/>
      <c r="F133" s="155" t="s">
        <v>195</v>
      </c>
      <c r="G133" s="287">
        <f>G134+G135+G136</f>
        <v>130000</v>
      </c>
      <c r="H133" s="287">
        <f>H134+H135+H136</f>
        <v>0</v>
      </c>
      <c r="I133" s="288">
        <f>I134+I135+I136</f>
        <v>0</v>
      </c>
      <c r="J133" s="289" t="e">
        <f t="shared" si="55"/>
        <v>#DIV/0!</v>
      </c>
      <c r="K133" s="290">
        <f>K134+K135+K136</f>
        <v>0</v>
      </c>
      <c r="L133" s="287">
        <f>L134+L135+L136</f>
        <v>0</v>
      </c>
      <c r="M133" s="291" t="e">
        <f t="shared" si="56"/>
        <v>#DIV/0!</v>
      </c>
      <c r="N133" s="287">
        <f>N134+N135+N136</f>
        <v>0</v>
      </c>
      <c r="O133" s="287">
        <f>O134+O135+O136</f>
        <v>0</v>
      </c>
      <c r="P133" s="291" t="e">
        <f t="shared" si="57"/>
        <v>#DIV/0!</v>
      </c>
      <c r="Q133" s="287">
        <f>Q134+Q135+Q136</f>
        <v>0</v>
      </c>
      <c r="R133" s="287">
        <f>R134+R135+R136</f>
        <v>0</v>
      </c>
      <c r="S133" s="292" t="e">
        <f t="shared" si="73"/>
        <v>#DIV/0!</v>
      </c>
      <c r="T133" s="287">
        <f>T134+T135+T136</f>
        <v>0</v>
      </c>
      <c r="U133" s="288">
        <f>U134+U135+U136</f>
        <v>0</v>
      </c>
      <c r="V133" s="291" t="e">
        <f t="shared" si="58"/>
        <v>#DIV/0!</v>
      </c>
      <c r="W133" s="287">
        <f>W134+W135+W136</f>
        <v>0</v>
      </c>
      <c r="X133" s="288">
        <f>X134+X135+X136</f>
        <v>0</v>
      </c>
      <c r="Y133" s="291" t="e">
        <f t="shared" si="59"/>
        <v>#DIV/0!</v>
      </c>
      <c r="Z133" s="287">
        <f>Z134+Z135+Z136</f>
        <v>0</v>
      </c>
      <c r="AA133" s="288">
        <f>AA134+AA135+AA136</f>
        <v>0</v>
      </c>
      <c r="AB133" s="291" t="e">
        <f t="shared" si="60"/>
        <v>#DIV/0!</v>
      </c>
      <c r="AC133" s="287">
        <f>AC134+AC135+AC136</f>
        <v>0</v>
      </c>
      <c r="AD133" s="287">
        <f>AD134+AD135+AD136</f>
        <v>0</v>
      </c>
      <c r="AE133" s="292" t="e">
        <f t="shared" si="86"/>
        <v>#DIV/0!</v>
      </c>
      <c r="AF133" s="287">
        <f>AF134+AF135+AF136</f>
        <v>0</v>
      </c>
      <c r="AG133" s="288">
        <f>AG134+AG135+AG136</f>
        <v>0</v>
      </c>
      <c r="AH133" s="293" t="e">
        <f t="shared" si="61"/>
        <v>#DIV/0!</v>
      </c>
      <c r="AI133" s="287">
        <f>AI134+AI135+AI136</f>
        <v>0</v>
      </c>
      <c r="AJ133" s="288">
        <f>AJ134+AJ135+AJ136</f>
        <v>0</v>
      </c>
      <c r="AK133" s="294" t="e">
        <f t="shared" si="62"/>
        <v>#DIV/0!</v>
      </c>
      <c r="AL133" s="287">
        <f>AL134+AL135+AL136</f>
        <v>0</v>
      </c>
      <c r="AM133" s="287">
        <f>AM134+AM135+AM136</f>
        <v>0</v>
      </c>
      <c r="AN133" s="295" t="e">
        <f t="shared" si="63"/>
        <v>#DIV/0!</v>
      </c>
      <c r="AO133" s="287">
        <f>AO134+AO135+AO136</f>
        <v>0</v>
      </c>
      <c r="AP133" s="287">
        <f>AP134+AP135+AP136</f>
        <v>0</v>
      </c>
      <c r="AQ133" s="292" t="e">
        <f t="shared" si="49"/>
        <v>#DIV/0!</v>
      </c>
      <c r="AR133" s="287"/>
      <c r="AS133" s="287"/>
      <c r="AT133" s="295" t="e">
        <f t="shared" si="64"/>
        <v>#DIV/0!</v>
      </c>
      <c r="AU133" s="287"/>
      <c r="AV133" s="287"/>
      <c r="AW133" s="295" t="e">
        <f t="shared" si="65"/>
        <v>#DIV/0!</v>
      </c>
      <c r="AX133" s="287">
        <f>AX134+AX135+AX136</f>
        <v>0</v>
      </c>
      <c r="AY133" s="288">
        <f>AY134+AY135+AY136</f>
        <v>0</v>
      </c>
      <c r="AZ133" s="294" t="e">
        <f t="shared" si="66"/>
        <v>#DIV/0!</v>
      </c>
      <c r="BA133" s="287">
        <f>BA134+BA135+BA136</f>
        <v>0</v>
      </c>
      <c r="BB133" s="287">
        <f>BB134+BB135+BB136</f>
        <v>0</v>
      </c>
      <c r="BC133" s="292" t="e">
        <f t="shared" si="50"/>
        <v>#DIV/0!</v>
      </c>
      <c r="BD133" s="288">
        <f>BD134+BD135+BD136</f>
        <v>0</v>
      </c>
      <c r="BE133" s="296">
        <f t="shared" si="67"/>
        <v>0</v>
      </c>
      <c r="BF133" s="297">
        <f t="shared" si="72"/>
        <v>130000</v>
      </c>
    </row>
    <row r="134" spans="1:58" ht="13.5" thickBot="1">
      <c r="A134" s="286">
        <v>2</v>
      </c>
      <c r="B134" s="231">
        <v>3</v>
      </c>
      <c r="C134" s="231">
        <v>5</v>
      </c>
      <c r="D134" s="231">
        <v>3</v>
      </c>
      <c r="E134" s="401"/>
      <c r="F134" s="155" t="s">
        <v>126</v>
      </c>
      <c r="G134" s="287">
        <v>100000</v>
      </c>
      <c r="H134" s="287"/>
      <c r="I134" s="288"/>
      <c r="J134" s="289" t="e">
        <f t="shared" si="55"/>
        <v>#DIV/0!</v>
      </c>
      <c r="K134" s="290"/>
      <c r="L134" s="287"/>
      <c r="M134" s="291" t="e">
        <f t="shared" si="56"/>
        <v>#DIV/0!</v>
      </c>
      <c r="N134" s="287"/>
      <c r="O134" s="287"/>
      <c r="P134" s="291" t="e">
        <f t="shared" si="57"/>
        <v>#DIV/0!</v>
      </c>
      <c r="Q134" s="280">
        <f aca="true" t="shared" si="91" ref="Q134:R136">N134+K134+H134</f>
        <v>0</v>
      </c>
      <c r="R134" s="280">
        <f t="shared" si="91"/>
        <v>0</v>
      </c>
      <c r="S134" s="292" t="e">
        <f t="shared" si="73"/>
        <v>#DIV/0!</v>
      </c>
      <c r="T134" s="287"/>
      <c r="U134" s="288"/>
      <c r="V134" s="291" t="e">
        <f t="shared" si="58"/>
        <v>#DIV/0!</v>
      </c>
      <c r="W134" s="287"/>
      <c r="X134" s="288"/>
      <c r="Y134" s="291" t="e">
        <f t="shared" si="59"/>
        <v>#DIV/0!</v>
      </c>
      <c r="Z134" s="287"/>
      <c r="AA134" s="288"/>
      <c r="AB134" s="291" t="e">
        <f t="shared" si="60"/>
        <v>#DIV/0!</v>
      </c>
      <c r="AC134" s="280">
        <f aca="true" t="shared" si="92" ref="AC134:AD136">Z134+W134+T134</f>
        <v>0</v>
      </c>
      <c r="AD134" s="280">
        <f t="shared" si="92"/>
        <v>0</v>
      </c>
      <c r="AE134" s="292" t="e">
        <f t="shared" si="86"/>
        <v>#DIV/0!</v>
      </c>
      <c r="AF134" s="287"/>
      <c r="AG134" s="288"/>
      <c r="AH134" s="293" t="e">
        <f t="shared" si="61"/>
        <v>#DIV/0!</v>
      </c>
      <c r="AI134" s="287"/>
      <c r="AJ134" s="288"/>
      <c r="AK134" s="294" t="e">
        <f t="shared" si="62"/>
        <v>#DIV/0!</v>
      </c>
      <c r="AL134" s="155"/>
      <c r="AM134" s="155"/>
      <c r="AN134" s="295" t="e">
        <f t="shared" si="63"/>
        <v>#DIV/0!</v>
      </c>
      <c r="AO134" s="300">
        <f aca="true" t="shared" si="93" ref="AO134:AP136">AL134+AI134+AF134</f>
        <v>0</v>
      </c>
      <c r="AP134" s="300">
        <f t="shared" si="93"/>
        <v>0</v>
      </c>
      <c r="AQ134" s="292" t="e">
        <f t="shared" si="49"/>
        <v>#DIV/0!</v>
      </c>
      <c r="AR134" s="287"/>
      <c r="AS134" s="287"/>
      <c r="AT134" s="295" t="e">
        <f t="shared" si="64"/>
        <v>#DIV/0!</v>
      </c>
      <c r="AU134" s="287"/>
      <c r="AV134" s="287"/>
      <c r="AW134" s="295" t="e">
        <f t="shared" si="65"/>
        <v>#DIV/0!</v>
      </c>
      <c r="AX134" s="287"/>
      <c r="AY134" s="288"/>
      <c r="AZ134" s="294" t="e">
        <f t="shared" si="66"/>
        <v>#DIV/0!</v>
      </c>
      <c r="BA134" s="280">
        <f aca="true" t="shared" si="94" ref="BA134:BB136">AX134+AU134+AR134</f>
        <v>0</v>
      </c>
      <c r="BB134" s="280">
        <f t="shared" si="94"/>
        <v>0</v>
      </c>
      <c r="BC134" s="292" t="e">
        <f t="shared" si="50"/>
        <v>#DIV/0!</v>
      </c>
      <c r="BD134" s="304">
        <f>I134+L134+O134+U134+X134+AA134+AG134+AJ134+AM134+AS134+AV134+AY134</f>
        <v>0</v>
      </c>
      <c r="BE134" s="296">
        <f t="shared" si="67"/>
        <v>0</v>
      </c>
      <c r="BF134" s="297">
        <f t="shared" si="72"/>
        <v>100000</v>
      </c>
    </row>
    <row r="135" spans="1:58" ht="13.5" thickBot="1">
      <c r="A135" s="286">
        <v>2</v>
      </c>
      <c r="B135" s="231">
        <v>3</v>
      </c>
      <c r="C135" s="231">
        <v>5</v>
      </c>
      <c r="D135" s="231">
        <v>4</v>
      </c>
      <c r="E135" s="401"/>
      <c r="F135" s="155" t="s">
        <v>144</v>
      </c>
      <c r="G135" s="287">
        <v>15000</v>
      </c>
      <c r="H135" s="287"/>
      <c r="I135" s="288"/>
      <c r="J135" s="289" t="e">
        <f t="shared" si="55"/>
        <v>#DIV/0!</v>
      </c>
      <c r="K135" s="290"/>
      <c r="L135" s="287"/>
      <c r="M135" s="291" t="e">
        <f t="shared" si="56"/>
        <v>#DIV/0!</v>
      </c>
      <c r="N135" s="287"/>
      <c r="O135" s="287"/>
      <c r="P135" s="291" t="e">
        <f t="shared" si="57"/>
        <v>#DIV/0!</v>
      </c>
      <c r="Q135" s="280">
        <f t="shared" si="91"/>
        <v>0</v>
      </c>
      <c r="R135" s="280">
        <f t="shared" si="91"/>
        <v>0</v>
      </c>
      <c r="S135" s="292" t="e">
        <f t="shared" si="73"/>
        <v>#DIV/0!</v>
      </c>
      <c r="T135" s="287"/>
      <c r="U135" s="288"/>
      <c r="V135" s="291" t="e">
        <f t="shared" si="58"/>
        <v>#DIV/0!</v>
      </c>
      <c r="W135" s="287"/>
      <c r="X135" s="288"/>
      <c r="Y135" s="291" t="e">
        <f t="shared" si="59"/>
        <v>#DIV/0!</v>
      </c>
      <c r="Z135" s="287"/>
      <c r="AA135" s="288"/>
      <c r="AB135" s="291" t="e">
        <f t="shared" si="60"/>
        <v>#DIV/0!</v>
      </c>
      <c r="AC135" s="280">
        <f t="shared" si="92"/>
        <v>0</v>
      </c>
      <c r="AD135" s="280">
        <f t="shared" si="92"/>
        <v>0</v>
      </c>
      <c r="AE135" s="292" t="e">
        <f t="shared" si="86"/>
        <v>#DIV/0!</v>
      </c>
      <c r="AF135" s="287"/>
      <c r="AG135" s="288"/>
      <c r="AH135" s="293" t="e">
        <f t="shared" si="61"/>
        <v>#DIV/0!</v>
      </c>
      <c r="AI135" s="287"/>
      <c r="AJ135" s="288"/>
      <c r="AK135" s="294" t="e">
        <f t="shared" si="62"/>
        <v>#DIV/0!</v>
      </c>
      <c r="AL135" s="155"/>
      <c r="AM135" s="155"/>
      <c r="AN135" s="295" t="e">
        <f t="shared" si="63"/>
        <v>#DIV/0!</v>
      </c>
      <c r="AO135" s="300">
        <f t="shared" si="93"/>
        <v>0</v>
      </c>
      <c r="AP135" s="300">
        <f t="shared" si="93"/>
        <v>0</v>
      </c>
      <c r="AQ135" s="292" t="e">
        <f t="shared" si="49"/>
        <v>#DIV/0!</v>
      </c>
      <c r="AR135" s="287"/>
      <c r="AS135" s="287"/>
      <c r="AT135" s="295" t="e">
        <f t="shared" si="64"/>
        <v>#DIV/0!</v>
      </c>
      <c r="AU135" s="287"/>
      <c r="AV135" s="287"/>
      <c r="AW135" s="295" t="e">
        <f t="shared" si="65"/>
        <v>#DIV/0!</v>
      </c>
      <c r="AX135" s="287"/>
      <c r="AY135" s="288"/>
      <c r="AZ135" s="294" t="e">
        <f t="shared" si="66"/>
        <v>#DIV/0!</v>
      </c>
      <c r="BA135" s="280">
        <f t="shared" si="94"/>
        <v>0</v>
      </c>
      <c r="BB135" s="280">
        <f t="shared" si="94"/>
        <v>0</v>
      </c>
      <c r="BC135" s="292" t="e">
        <f t="shared" si="50"/>
        <v>#DIV/0!</v>
      </c>
      <c r="BD135" s="304">
        <f>I135+L135+O135+U135+X135+AA135+AG135+AJ135+AM135+AS135+AV135+AY135</f>
        <v>0</v>
      </c>
      <c r="BE135" s="296">
        <f t="shared" si="67"/>
        <v>0</v>
      </c>
      <c r="BF135" s="297">
        <f t="shared" si="72"/>
        <v>15000</v>
      </c>
    </row>
    <row r="136" spans="1:58" ht="13.5" thickBot="1">
      <c r="A136" s="286">
        <v>2</v>
      </c>
      <c r="B136" s="231">
        <v>3</v>
      </c>
      <c r="C136" s="231">
        <v>5</v>
      </c>
      <c r="D136" s="231">
        <v>5</v>
      </c>
      <c r="E136" s="401"/>
      <c r="F136" s="155" t="s">
        <v>143</v>
      </c>
      <c r="G136" s="287">
        <v>15000</v>
      </c>
      <c r="H136" s="287"/>
      <c r="I136" s="288"/>
      <c r="J136" s="289" t="e">
        <f t="shared" si="55"/>
        <v>#DIV/0!</v>
      </c>
      <c r="K136" s="290"/>
      <c r="L136" s="287"/>
      <c r="M136" s="291" t="e">
        <f t="shared" si="56"/>
        <v>#DIV/0!</v>
      </c>
      <c r="N136" s="287"/>
      <c r="O136" s="287"/>
      <c r="P136" s="291" t="e">
        <f t="shared" si="57"/>
        <v>#DIV/0!</v>
      </c>
      <c r="Q136" s="280">
        <f t="shared" si="91"/>
        <v>0</v>
      </c>
      <c r="R136" s="280">
        <f t="shared" si="91"/>
        <v>0</v>
      </c>
      <c r="S136" s="292" t="e">
        <f t="shared" si="73"/>
        <v>#DIV/0!</v>
      </c>
      <c r="T136" s="287"/>
      <c r="U136" s="288"/>
      <c r="V136" s="291" t="e">
        <f t="shared" si="58"/>
        <v>#DIV/0!</v>
      </c>
      <c r="W136" s="287"/>
      <c r="X136" s="288"/>
      <c r="Y136" s="291" t="e">
        <f t="shared" si="59"/>
        <v>#DIV/0!</v>
      </c>
      <c r="Z136" s="287"/>
      <c r="AA136" s="288"/>
      <c r="AB136" s="291" t="e">
        <f t="shared" si="60"/>
        <v>#DIV/0!</v>
      </c>
      <c r="AC136" s="280">
        <f t="shared" si="92"/>
        <v>0</v>
      </c>
      <c r="AD136" s="280">
        <f t="shared" si="92"/>
        <v>0</v>
      </c>
      <c r="AE136" s="292" t="e">
        <f t="shared" si="86"/>
        <v>#DIV/0!</v>
      </c>
      <c r="AF136" s="287"/>
      <c r="AG136" s="288"/>
      <c r="AH136" s="293" t="e">
        <f t="shared" si="61"/>
        <v>#DIV/0!</v>
      </c>
      <c r="AI136" s="287"/>
      <c r="AJ136" s="288"/>
      <c r="AK136" s="294" t="e">
        <f t="shared" si="62"/>
        <v>#DIV/0!</v>
      </c>
      <c r="AL136" s="155"/>
      <c r="AM136" s="155"/>
      <c r="AN136" s="295" t="e">
        <f t="shared" si="63"/>
        <v>#DIV/0!</v>
      </c>
      <c r="AO136" s="300">
        <f t="shared" si="93"/>
        <v>0</v>
      </c>
      <c r="AP136" s="300">
        <f t="shared" si="93"/>
        <v>0</v>
      </c>
      <c r="AQ136" s="292" t="e">
        <f t="shared" si="49"/>
        <v>#DIV/0!</v>
      </c>
      <c r="AR136" s="287"/>
      <c r="AS136" s="287"/>
      <c r="AT136" s="295" t="e">
        <f t="shared" si="64"/>
        <v>#DIV/0!</v>
      </c>
      <c r="AU136" s="287"/>
      <c r="AV136" s="287"/>
      <c r="AW136" s="295" t="e">
        <f t="shared" si="65"/>
        <v>#DIV/0!</v>
      </c>
      <c r="AX136" s="287"/>
      <c r="AY136" s="288"/>
      <c r="AZ136" s="294" t="e">
        <f t="shared" si="66"/>
        <v>#DIV/0!</v>
      </c>
      <c r="BA136" s="280">
        <f t="shared" si="94"/>
        <v>0</v>
      </c>
      <c r="BB136" s="280">
        <f t="shared" si="94"/>
        <v>0</v>
      </c>
      <c r="BC136" s="292" t="e">
        <f t="shared" si="50"/>
        <v>#DIV/0!</v>
      </c>
      <c r="BD136" s="304">
        <f>I136+L136+O136+U136+X136+AA136+AG136+AJ136+AM136+AS136+AV136+AY136</f>
        <v>0</v>
      </c>
      <c r="BE136" s="296">
        <f t="shared" si="67"/>
        <v>0</v>
      </c>
      <c r="BF136" s="297">
        <f t="shared" si="72"/>
        <v>15000</v>
      </c>
    </row>
    <row r="137" spans="1:58" ht="13.5" thickBot="1">
      <c r="A137" s="298"/>
      <c r="B137" s="299"/>
      <c r="C137" s="299"/>
      <c r="D137" s="299"/>
      <c r="E137" s="403"/>
      <c r="F137" s="90"/>
      <c r="G137" s="300"/>
      <c r="H137" s="300"/>
      <c r="I137" s="304"/>
      <c r="J137" s="289"/>
      <c r="K137" s="302"/>
      <c r="L137" s="300"/>
      <c r="M137" s="291"/>
      <c r="N137" s="300"/>
      <c r="O137" s="300"/>
      <c r="P137" s="291"/>
      <c r="Q137" s="280"/>
      <c r="R137" s="280"/>
      <c r="S137" s="292"/>
      <c r="T137" s="300"/>
      <c r="U137" s="304"/>
      <c r="V137" s="291"/>
      <c r="W137" s="300"/>
      <c r="X137" s="304"/>
      <c r="Y137" s="291"/>
      <c r="Z137" s="300"/>
      <c r="AA137" s="304"/>
      <c r="AB137" s="291"/>
      <c r="AC137" s="280"/>
      <c r="AD137" s="280"/>
      <c r="AE137" s="292"/>
      <c r="AF137" s="300"/>
      <c r="AG137" s="304"/>
      <c r="AH137" s="293"/>
      <c r="AI137" s="300"/>
      <c r="AJ137" s="304"/>
      <c r="AK137" s="294"/>
      <c r="AL137" s="90"/>
      <c r="AM137" s="90"/>
      <c r="AN137" s="295"/>
      <c r="AO137" s="300"/>
      <c r="AP137" s="300"/>
      <c r="AQ137" s="292"/>
      <c r="AR137" s="300"/>
      <c r="AS137" s="300"/>
      <c r="AT137" s="295"/>
      <c r="AU137" s="300"/>
      <c r="AV137" s="300"/>
      <c r="AW137" s="295"/>
      <c r="AX137" s="300"/>
      <c r="AY137" s="304"/>
      <c r="AZ137" s="294"/>
      <c r="BA137" s="280"/>
      <c r="BB137" s="280"/>
      <c r="BC137" s="292"/>
      <c r="BD137" s="304"/>
      <c r="BE137" s="296"/>
      <c r="BF137" s="308"/>
    </row>
    <row r="138" spans="1:58" ht="13.5" thickBot="1">
      <c r="A138" s="286">
        <v>2</v>
      </c>
      <c r="B138" s="231">
        <v>3</v>
      </c>
      <c r="C138" s="231">
        <v>6</v>
      </c>
      <c r="D138" s="299"/>
      <c r="E138" s="403"/>
      <c r="F138" s="155" t="s">
        <v>206</v>
      </c>
      <c r="G138" s="287">
        <f>+G139</f>
        <v>50000</v>
      </c>
      <c r="H138" s="287">
        <f>+H139</f>
        <v>0</v>
      </c>
      <c r="I138" s="288">
        <f>+I139</f>
        <v>0</v>
      </c>
      <c r="J138" s="289" t="e">
        <f t="shared" si="55"/>
        <v>#DIV/0!</v>
      </c>
      <c r="K138" s="290">
        <f>+K139</f>
        <v>0</v>
      </c>
      <c r="L138" s="287">
        <f>+L139</f>
        <v>0</v>
      </c>
      <c r="M138" s="291" t="e">
        <f t="shared" si="56"/>
        <v>#DIV/0!</v>
      </c>
      <c r="N138" s="287">
        <f>+N139</f>
        <v>0</v>
      </c>
      <c r="O138" s="287">
        <f>+O139</f>
        <v>0</v>
      </c>
      <c r="P138" s="291" t="e">
        <f t="shared" si="57"/>
        <v>#DIV/0!</v>
      </c>
      <c r="Q138" s="287">
        <f>+Q139</f>
        <v>0</v>
      </c>
      <c r="R138" s="287">
        <f>+R139</f>
        <v>0</v>
      </c>
      <c r="S138" s="292" t="e">
        <f t="shared" si="73"/>
        <v>#DIV/0!</v>
      </c>
      <c r="T138" s="287">
        <f>+T139</f>
        <v>0</v>
      </c>
      <c r="U138" s="288">
        <f>+U139</f>
        <v>0</v>
      </c>
      <c r="V138" s="291" t="e">
        <f t="shared" si="58"/>
        <v>#DIV/0!</v>
      </c>
      <c r="W138" s="287">
        <f>+W139</f>
        <v>0</v>
      </c>
      <c r="X138" s="288">
        <f>+X139</f>
        <v>0</v>
      </c>
      <c r="Y138" s="291" t="e">
        <f t="shared" si="59"/>
        <v>#DIV/0!</v>
      </c>
      <c r="Z138" s="287">
        <f>+Z139</f>
        <v>0</v>
      </c>
      <c r="AA138" s="288">
        <f>+AA139</f>
        <v>0</v>
      </c>
      <c r="AB138" s="291" t="e">
        <f t="shared" si="60"/>
        <v>#DIV/0!</v>
      </c>
      <c r="AC138" s="287">
        <f>+AC139</f>
        <v>0</v>
      </c>
      <c r="AD138" s="287">
        <f>+AD139</f>
        <v>0</v>
      </c>
      <c r="AE138" s="292" t="e">
        <f t="shared" si="86"/>
        <v>#DIV/0!</v>
      </c>
      <c r="AF138" s="287">
        <f>+AF139</f>
        <v>0</v>
      </c>
      <c r="AG138" s="288">
        <f>+AG139</f>
        <v>0</v>
      </c>
      <c r="AH138" s="293" t="e">
        <f t="shared" si="61"/>
        <v>#DIV/0!</v>
      </c>
      <c r="AI138" s="287">
        <f>+AI139</f>
        <v>0</v>
      </c>
      <c r="AJ138" s="288">
        <f>+AJ139</f>
        <v>0</v>
      </c>
      <c r="AK138" s="294" t="e">
        <f t="shared" si="62"/>
        <v>#DIV/0!</v>
      </c>
      <c r="AL138" s="287">
        <f>+AL139</f>
        <v>0</v>
      </c>
      <c r="AM138" s="287">
        <f>+AM139</f>
        <v>0</v>
      </c>
      <c r="AN138" s="295" t="e">
        <f t="shared" si="63"/>
        <v>#DIV/0!</v>
      </c>
      <c r="AO138" s="287">
        <f>+AO139</f>
        <v>0</v>
      </c>
      <c r="AP138" s="287">
        <f>+AP139</f>
        <v>0</v>
      </c>
      <c r="AQ138" s="292" t="e">
        <f t="shared" si="49"/>
        <v>#DIV/0!</v>
      </c>
      <c r="AR138" s="287"/>
      <c r="AS138" s="287"/>
      <c r="AT138" s="295" t="e">
        <f t="shared" si="64"/>
        <v>#DIV/0!</v>
      </c>
      <c r="AU138" s="287"/>
      <c r="AV138" s="287"/>
      <c r="AW138" s="295" t="e">
        <f t="shared" si="65"/>
        <v>#DIV/0!</v>
      </c>
      <c r="AX138" s="287">
        <f>+AX139</f>
        <v>0</v>
      </c>
      <c r="AY138" s="288">
        <f>+AY139</f>
        <v>0</v>
      </c>
      <c r="AZ138" s="294" t="e">
        <f t="shared" si="66"/>
        <v>#DIV/0!</v>
      </c>
      <c r="BA138" s="287">
        <f>+BA139</f>
        <v>0</v>
      </c>
      <c r="BB138" s="287">
        <f>+BB139</f>
        <v>0</v>
      </c>
      <c r="BC138" s="292" t="e">
        <f t="shared" si="50"/>
        <v>#DIV/0!</v>
      </c>
      <c r="BD138" s="288">
        <f>+BD139</f>
        <v>0</v>
      </c>
      <c r="BE138" s="296">
        <f t="shared" si="67"/>
        <v>0</v>
      </c>
      <c r="BF138" s="308">
        <f t="shared" si="72"/>
        <v>50000</v>
      </c>
    </row>
    <row r="139" spans="1:58" ht="13.5" thickBot="1">
      <c r="A139" s="286">
        <v>2</v>
      </c>
      <c r="B139" s="231">
        <v>3</v>
      </c>
      <c r="C139" s="231">
        <v>6</v>
      </c>
      <c r="D139" s="231">
        <v>2</v>
      </c>
      <c r="E139" s="401"/>
      <c r="F139" s="155" t="s">
        <v>44</v>
      </c>
      <c r="G139" s="287">
        <v>50000</v>
      </c>
      <c r="H139" s="287"/>
      <c r="I139" s="288"/>
      <c r="J139" s="289" t="e">
        <f t="shared" si="55"/>
        <v>#DIV/0!</v>
      </c>
      <c r="K139" s="290"/>
      <c r="L139" s="287"/>
      <c r="M139" s="291" t="e">
        <f t="shared" si="56"/>
        <v>#DIV/0!</v>
      </c>
      <c r="N139" s="287"/>
      <c r="O139" s="287"/>
      <c r="P139" s="291" t="e">
        <f t="shared" si="57"/>
        <v>#DIV/0!</v>
      </c>
      <c r="Q139" s="280">
        <f>N139+K139+H139</f>
        <v>0</v>
      </c>
      <c r="R139" s="280">
        <f>O139+L139+I139</f>
        <v>0</v>
      </c>
      <c r="S139" s="292" t="e">
        <f t="shared" si="73"/>
        <v>#DIV/0!</v>
      </c>
      <c r="T139" s="287"/>
      <c r="U139" s="288"/>
      <c r="V139" s="291" t="e">
        <f t="shared" si="58"/>
        <v>#DIV/0!</v>
      </c>
      <c r="W139" s="287"/>
      <c r="X139" s="288"/>
      <c r="Y139" s="291" t="e">
        <f t="shared" si="59"/>
        <v>#DIV/0!</v>
      </c>
      <c r="Z139" s="287"/>
      <c r="AA139" s="288"/>
      <c r="AB139" s="291" t="e">
        <f t="shared" si="60"/>
        <v>#DIV/0!</v>
      </c>
      <c r="AC139" s="280">
        <f>Z139+W139+T139</f>
        <v>0</v>
      </c>
      <c r="AD139" s="280">
        <f>AA139+X139+U139</f>
        <v>0</v>
      </c>
      <c r="AE139" s="292" t="e">
        <f t="shared" si="86"/>
        <v>#DIV/0!</v>
      </c>
      <c r="AF139" s="287"/>
      <c r="AG139" s="288"/>
      <c r="AH139" s="293" t="e">
        <f t="shared" si="61"/>
        <v>#DIV/0!</v>
      </c>
      <c r="AI139" s="287"/>
      <c r="AJ139" s="288"/>
      <c r="AK139" s="294" t="e">
        <f t="shared" si="62"/>
        <v>#DIV/0!</v>
      </c>
      <c r="AL139" s="155"/>
      <c r="AM139" s="155"/>
      <c r="AN139" s="295" t="e">
        <f t="shared" si="63"/>
        <v>#DIV/0!</v>
      </c>
      <c r="AO139" s="300">
        <f>AL139+AI139+AF139</f>
        <v>0</v>
      </c>
      <c r="AP139" s="300">
        <f>AM139+AJ139+AG139</f>
        <v>0</v>
      </c>
      <c r="AQ139" s="292" t="e">
        <f t="shared" si="49"/>
        <v>#DIV/0!</v>
      </c>
      <c r="AR139" s="287"/>
      <c r="AS139" s="287"/>
      <c r="AT139" s="295" t="e">
        <f t="shared" si="64"/>
        <v>#DIV/0!</v>
      </c>
      <c r="AU139" s="287"/>
      <c r="AV139" s="287"/>
      <c r="AW139" s="295" t="e">
        <f t="shared" si="65"/>
        <v>#DIV/0!</v>
      </c>
      <c r="AX139" s="287"/>
      <c r="AY139" s="288"/>
      <c r="AZ139" s="294" t="e">
        <f t="shared" si="66"/>
        <v>#DIV/0!</v>
      </c>
      <c r="BA139" s="280">
        <f>AX139+AU139+AR139</f>
        <v>0</v>
      </c>
      <c r="BB139" s="280">
        <f>AY139+AV139+AS139</f>
        <v>0</v>
      </c>
      <c r="BC139" s="292" t="e">
        <f t="shared" si="50"/>
        <v>#DIV/0!</v>
      </c>
      <c r="BD139" s="304">
        <f>I139+L139+O139+U139+X139+AA139+AG139+AJ139+AM139+AS139+AV139+AY139</f>
        <v>0</v>
      </c>
      <c r="BE139" s="296">
        <f t="shared" si="67"/>
        <v>0</v>
      </c>
      <c r="BF139" s="308">
        <f t="shared" si="72"/>
        <v>50000</v>
      </c>
    </row>
    <row r="140" spans="1:58" ht="13.5" thickBot="1">
      <c r="A140" s="298"/>
      <c r="B140" s="299"/>
      <c r="C140" s="299"/>
      <c r="D140" s="299"/>
      <c r="E140" s="403"/>
      <c r="F140" s="155"/>
      <c r="G140" s="287"/>
      <c r="H140" s="287"/>
      <c r="I140" s="304"/>
      <c r="J140" s="289"/>
      <c r="K140" s="302"/>
      <c r="L140" s="300"/>
      <c r="M140" s="291"/>
      <c r="N140" s="300"/>
      <c r="O140" s="300"/>
      <c r="P140" s="291"/>
      <c r="Q140" s="280"/>
      <c r="R140" s="280"/>
      <c r="S140" s="292"/>
      <c r="T140" s="287"/>
      <c r="U140" s="304"/>
      <c r="V140" s="291"/>
      <c r="W140" s="287"/>
      <c r="X140" s="304"/>
      <c r="Y140" s="291"/>
      <c r="Z140" s="287"/>
      <c r="AA140" s="304"/>
      <c r="AB140" s="291"/>
      <c r="AC140" s="280"/>
      <c r="AD140" s="280"/>
      <c r="AE140" s="292"/>
      <c r="AF140" s="287"/>
      <c r="AG140" s="304"/>
      <c r="AH140" s="293"/>
      <c r="AI140" s="287"/>
      <c r="AJ140" s="304"/>
      <c r="AK140" s="294"/>
      <c r="AL140" s="90"/>
      <c r="AM140" s="90"/>
      <c r="AN140" s="295"/>
      <c r="AO140" s="300"/>
      <c r="AP140" s="300"/>
      <c r="AQ140" s="292"/>
      <c r="AR140" s="300"/>
      <c r="AS140" s="300"/>
      <c r="AT140" s="295"/>
      <c r="AU140" s="300"/>
      <c r="AV140" s="300"/>
      <c r="AW140" s="295"/>
      <c r="AX140" s="300"/>
      <c r="AY140" s="304"/>
      <c r="AZ140" s="294"/>
      <c r="BA140" s="280"/>
      <c r="BB140" s="280"/>
      <c r="BC140" s="292"/>
      <c r="BD140" s="288"/>
      <c r="BE140" s="296"/>
      <c r="BF140" s="308"/>
    </row>
    <row r="141" spans="1:58" ht="13.5" thickBot="1">
      <c r="A141" s="286">
        <v>2</v>
      </c>
      <c r="B141" s="231">
        <v>3</v>
      </c>
      <c r="C141" s="231">
        <v>7</v>
      </c>
      <c r="D141" s="231"/>
      <c r="E141" s="403"/>
      <c r="F141" s="155" t="s">
        <v>205</v>
      </c>
      <c r="G141" s="287">
        <f>+G142</f>
        <v>3040000</v>
      </c>
      <c r="H141" s="287">
        <f>+H142</f>
        <v>0</v>
      </c>
      <c r="I141" s="288">
        <f>+I142</f>
        <v>82000</v>
      </c>
      <c r="J141" s="289" t="e">
        <f t="shared" si="55"/>
        <v>#DIV/0!</v>
      </c>
      <c r="K141" s="290">
        <f>+K142</f>
        <v>0</v>
      </c>
      <c r="L141" s="287">
        <f>+L142</f>
        <v>271400</v>
      </c>
      <c r="M141" s="291" t="e">
        <f t="shared" si="56"/>
        <v>#DIV/0!</v>
      </c>
      <c r="N141" s="287">
        <f>+N142</f>
        <v>0</v>
      </c>
      <c r="O141" s="287">
        <f>+O142</f>
        <v>184300</v>
      </c>
      <c r="P141" s="291" t="e">
        <f t="shared" si="57"/>
        <v>#DIV/0!</v>
      </c>
      <c r="Q141" s="287">
        <f>+Q142</f>
        <v>0</v>
      </c>
      <c r="R141" s="287">
        <f>+R142</f>
        <v>537700</v>
      </c>
      <c r="S141" s="292" t="e">
        <f t="shared" si="73"/>
        <v>#DIV/0!</v>
      </c>
      <c r="T141" s="287">
        <f>+T142</f>
        <v>0</v>
      </c>
      <c r="U141" s="288">
        <f>+U142</f>
        <v>0</v>
      </c>
      <c r="V141" s="291" t="e">
        <f t="shared" si="58"/>
        <v>#DIV/0!</v>
      </c>
      <c r="W141" s="287">
        <f>+W142</f>
        <v>0</v>
      </c>
      <c r="X141" s="288">
        <f>+X142</f>
        <v>0</v>
      </c>
      <c r="Y141" s="291" t="e">
        <f t="shared" si="59"/>
        <v>#DIV/0!</v>
      </c>
      <c r="Z141" s="287">
        <f>+Z142</f>
        <v>0</v>
      </c>
      <c r="AA141" s="288">
        <f>+AA142</f>
        <v>0</v>
      </c>
      <c r="AB141" s="291" t="e">
        <f t="shared" si="60"/>
        <v>#DIV/0!</v>
      </c>
      <c r="AC141" s="287">
        <f>+AC142</f>
        <v>0</v>
      </c>
      <c r="AD141" s="287">
        <f>+AD142</f>
        <v>0</v>
      </c>
      <c r="AE141" s="292" t="e">
        <f t="shared" si="86"/>
        <v>#DIV/0!</v>
      </c>
      <c r="AF141" s="287">
        <f>+AF142</f>
        <v>0</v>
      </c>
      <c r="AG141" s="288">
        <f>+AG142</f>
        <v>0</v>
      </c>
      <c r="AH141" s="293" t="e">
        <f t="shared" si="61"/>
        <v>#DIV/0!</v>
      </c>
      <c r="AI141" s="287">
        <f>+AI142</f>
        <v>0</v>
      </c>
      <c r="AJ141" s="288">
        <f>+AJ142</f>
        <v>0</v>
      </c>
      <c r="AK141" s="294" t="e">
        <f t="shared" si="62"/>
        <v>#DIV/0!</v>
      </c>
      <c r="AL141" s="287">
        <f>+AL142</f>
        <v>0</v>
      </c>
      <c r="AM141" s="287">
        <f>+AM142</f>
        <v>0</v>
      </c>
      <c r="AN141" s="295" t="e">
        <f t="shared" si="63"/>
        <v>#DIV/0!</v>
      </c>
      <c r="AO141" s="287">
        <f>+AO142</f>
        <v>0</v>
      </c>
      <c r="AP141" s="287">
        <f>+AP142</f>
        <v>0</v>
      </c>
      <c r="AQ141" s="292" t="e">
        <f aca="true" t="shared" si="95" ref="AQ141:AQ173">AP141/AO141</f>
        <v>#DIV/0!</v>
      </c>
      <c r="AR141" s="287"/>
      <c r="AS141" s="287"/>
      <c r="AT141" s="295" t="e">
        <f t="shared" si="64"/>
        <v>#DIV/0!</v>
      </c>
      <c r="AU141" s="287"/>
      <c r="AV141" s="287"/>
      <c r="AW141" s="295" t="e">
        <f t="shared" si="65"/>
        <v>#DIV/0!</v>
      </c>
      <c r="AX141" s="287">
        <f>+AX142</f>
        <v>0</v>
      </c>
      <c r="AY141" s="288">
        <f>+AY142</f>
        <v>0</v>
      </c>
      <c r="AZ141" s="294" t="e">
        <f t="shared" si="66"/>
        <v>#DIV/0!</v>
      </c>
      <c r="BA141" s="287">
        <f>+BA142</f>
        <v>0</v>
      </c>
      <c r="BB141" s="287">
        <f>+BB142</f>
        <v>0</v>
      </c>
      <c r="BC141" s="292" t="e">
        <f aca="true" t="shared" si="96" ref="BC141:BC173">BB141/BA141</f>
        <v>#DIV/0!</v>
      </c>
      <c r="BD141" s="288">
        <f>+BD142</f>
        <v>537700</v>
      </c>
      <c r="BE141" s="296">
        <f t="shared" si="67"/>
        <v>0.176875</v>
      </c>
      <c r="BF141" s="297">
        <f t="shared" si="72"/>
        <v>2502300</v>
      </c>
    </row>
    <row r="142" spans="1:58" ht="13.5" thickBot="1">
      <c r="A142" s="286">
        <v>2</v>
      </c>
      <c r="B142" s="231">
        <v>3</v>
      </c>
      <c r="C142" s="231">
        <v>7</v>
      </c>
      <c r="D142" s="231">
        <v>1</v>
      </c>
      <c r="E142" s="401"/>
      <c r="F142" s="155" t="s">
        <v>5</v>
      </c>
      <c r="G142" s="287">
        <f>G143+G144+G145+G146</f>
        <v>3040000</v>
      </c>
      <c r="H142" s="287">
        <f>H143+H144+H145+H146</f>
        <v>0</v>
      </c>
      <c r="I142" s="288">
        <f>I143+I144+I145+I146</f>
        <v>82000</v>
      </c>
      <c r="J142" s="289" t="e">
        <f t="shared" si="55"/>
        <v>#DIV/0!</v>
      </c>
      <c r="K142" s="290">
        <f>K143+K144+K145+K146</f>
        <v>0</v>
      </c>
      <c r="L142" s="287">
        <f>L143+L144+L145+L146</f>
        <v>271400</v>
      </c>
      <c r="M142" s="291" t="e">
        <f t="shared" si="56"/>
        <v>#DIV/0!</v>
      </c>
      <c r="N142" s="287">
        <f>N143+N144+N145+N146</f>
        <v>0</v>
      </c>
      <c r="O142" s="287">
        <f>O143+O144+O145+O146</f>
        <v>184300</v>
      </c>
      <c r="P142" s="291" t="e">
        <f t="shared" si="57"/>
        <v>#DIV/0!</v>
      </c>
      <c r="Q142" s="287">
        <f>Q143+Q144+Q145+Q146</f>
        <v>0</v>
      </c>
      <c r="R142" s="287">
        <f>R143+R144+R145+R146</f>
        <v>537700</v>
      </c>
      <c r="S142" s="292" t="e">
        <f t="shared" si="73"/>
        <v>#DIV/0!</v>
      </c>
      <c r="T142" s="287">
        <f>T143+T144+T145+T146</f>
        <v>0</v>
      </c>
      <c r="U142" s="288">
        <f>U143+U144+U145+U146</f>
        <v>0</v>
      </c>
      <c r="V142" s="291" t="e">
        <f t="shared" si="58"/>
        <v>#DIV/0!</v>
      </c>
      <c r="W142" s="287">
        <f>W143+W144+W145+W146</f>
        <v>0</v>
      </c>
      <c r="X142" s="288">
        <f>X143+X144+X145+X146</f>
        <v>0</v>
      </c>
      <c r="Y142" s="291" t="e">
        <f t="shared" si="59"/>
        <v>#DIV/0!</v>
      </c>
      <c r="Z142" s="287">
        <f>Z143+Z144+Z145+Z146</f>
        <v>0</v>
      </c>
      <c r="AA142" s="288">
        <f>AA143+AA144+AA145+AA146</f>
        <v>0</v>
      </c>
      <c r="AB142" s="291" t="e">
        <f t="shared" si="60"/>
        <v>#DIV/0!</v>
      </c>
      <c r="AC142" s="287">
        <f>AC143+AC144+AC145+AC146</f>
        <v>0</v>
      </c>
      <c r="AD142" s="287">
        <f>AD143+AD144+AD145+AD146</f>
        <v>0</v>
      </c>
      <c r="AE142" s="292" t="e">
        <f t="shared" si="86"/>
        <v>#DIV/0!</v>
      </c>
      <c r="AF142" s="287">
        <f>AF143+AF144+AF145+AF146</f>
        <v>0</v>
      </c>
      <c r="AG142" s="288">
        <f>AG143+AG144+AG145+AG146</f>
        <v>0</v>
      </c>
      <c r="AH142" s="293" t="e">
        <f t="shared" si="61"/>
        <v>#DIV/0!</v>
      </c>
      <c r="AI142" s="287">
        <f>AI143+AI144+AI145+AI146</f>
        <v>0</v>
      </c>
      <c r="AJ142" s="288">
        <f>AJ143+AJ144+AJ145+AJ146</f>
        <v>0</v>
      </c>
      <c r="AK142" s="294" t="e">
        <f t="shared" si="62"/>
        <v>#DIV/0!</v>
      </c>
      <c r="AL142" s="287">
        <f>AL143+AL144+AL145+AL146</f>
        <v>0</v>
      </c>
      <c r="AM142" s="287">
        <f>AM143+AM144+AM145+AM146</f>
        <v>0</v>
      </c>
      <c r="AN142" s="295" t="e">
        <f t="shared" si="63"/>
        <v>#DIV/0!</v>
      </c>
      <c r="AO142" s="287">
        <f>AO143+AO144+AO145+AO146</f>
        <v>0</v>
      </c>
      <c r="AP142" s="287">
        <f>AP143+AP144+AP145+AP146</f>
        <v>0</v>
      </c>
      <c r="AQ142" s="292" t="e">
        <f t="shared" si="95"/>
        <v>#DIV/0!</v>
      </c>
      <c r="AR142" s="287"/>
      <c r="AS142" s="287"/>
      <c r="AT142" s="295" t="e">
        <f t="shared" si="64"/>
        <v>#DIV/0!</v>
      </c>
      <c r="AU142" s="287"/>
      <c r="AV142" s="287"/>
      <c r="AW142" s="295" t="e">
        <f t="shared" si="65"/>
        <v>#DIV/0!</v>
      </c>
      <c r="AX142" s="287">
        <f>AX143+AX144+AX145+AX146</f>
        <v>0</v>
      </c>
      <c r="AY142" s="288">
        <f>AY143+AY144+AY145+AY146</f>
        <v>0</v>
      </c>
      <c r="AZ142" s="294" t="e">
        <f t="shared" si="66"/>
        <v>#DIV/0!</v>
      </c>
      <c r="BA142" s="287">
        <f>BA143+BA144+BA145+BA146</f>
        <v>0</v>
      </c>
      <c r="BB142" s="287">
        <f>BB143+BB144+BB145+BB146</f>
        <v>0</v>
      </c>
      <c r="BC142" s="292" t="e">
        <f t="shared" si="96"/>
        <v>#DIV/0!</v>
      </c>
      <c r="BD142" s="288">
        <f>BD143+BD144+BD145+BD146</f>
        <v>537700</v>
      </c>
      <c r="BE142" s="296">
        <f t="shared" si="67"/>
        <v>0.176875</v>
      </c>
      <c r="BF142" s="297">
        <f t="shared" si="72"/>
        <v>2502300</v>
      </c>
    </row>
    <row r="143" spans="1:58" ht="13.5" thickBot="1">
      <c r="A143" s="298">
        <v>2</v>
      </c>
      <c r="B143" s="299">
        <v>3</v>
      </c>
      <c r="C143" s="299">
        <v>7</v>
      </c>
      <c r="D143" s="299">
        <v>1</v>
      </c>
      <c r="E143" s="402" t="s">
        <v>149</v>
      </c>
      <c r="F143" s="90" t="s">
        <v>45</v>
      </c>
      <c r="G143" s="300">
        <v>1500000</v>
      </c>
      <c r="H143" s="300"/>
      <c r="I143" s="304">
        <v>47200</v>
      </c>
      <c r="J143" s="289" t="e">
        <f t="shared" si="55"/>
        <v>#DIV/0!</v>
      </c>
      <c r="K143" s="302"/>
      <c r="L143" s="300">
        <v>140700</v>
      </c>
      <c r="M143" s="291" t="e">
        <f t="shared" si="56"/>
        <v>#DIV/0!</v>
      </c>
      <c r="N143" s="300"/>
      <c r="O143" s="300">
        <v>96900</v>
      </c>
      <c r="P143" s="291" t="e">
        <f t="shared" si="57"/>
        <v>#DIV/0!</v>
      </c>
      <c r="Q143" s="280">
        <f aca="true" t="shared" si="97" ref="Q143:R146">N143+K143+H143</f>
        <v>0</v>
      </c>
      <c r="R143" s="280">
        <f t="shared" si="97"/>
        <v>284800</v>
      </c>
      <c r="S143" s="292" t="e">
        <f t="shared" si="73"/>
        <v>#DIV/0!</v>
      </c>
      <c r="T143" s="300"/>
      <c r="U143" s="304"/>
      <c r="V143" s="291" t="e">
        <f t="shared" si="58"/>
        <v>#DIV/0!</v>
      </c>
      <c r="W143" s="300"/>
      <c r="X143" s="304"/>
      <c r="Y143" s="291" t="e">
        <f t="shared" si="59"/>
        <v>#DIV/0!</v>
      </c>
      <c r="Z143" s="300"/>
      <c r="AA143" s="304"/>
      <c r="AB143" s="291" t="e">
        <f t="shared" si="60"/>
        <v>#DIV/0!</v>
      </c>
      <c r="AC143" s="280">
        <f aca="true" t="shared" si="98" ref="AC143:AD146">Z143+W143+T143</f>
        <v>0</v>
      </c>
      <c r="AD143" s="280">
        <f t="shared" si="98"/>
        <v>0</v>
      </c>
      <c r="AE143" s="292" t="e">
        <f t="shared" si="86"/>
        <v>#DIV/0!</v>
      </c>
      <c r="AF143" s="300"/>
      <c r="AG143" s="304"/>
      <c r="AH143" s="293" t="e">
        <f t="shared" si="61"/>
        <v>#DIV/0!</v>
      </c>
      <c r="AI143" s="300"/>
      <c r="AJ143" s="304"/>
      <c r="AK143" s="294" t="e">
        <f t="shared" si="62"/>
        <v>#DIV/0!</v>
      </c>
      <c r="AL143" s="90"/>
      <c r="AM143" s="90"/>
      <c r="AN143" s="295" t="e">
        <f t="shared" si="63"/>
        <v>#DIV/0!</v>
      </c>
      <c r="AO143" s="300">
        <f aca="true" t="shared" si="99" ref="AO143:AP146">AL143+AI143+AF143</f>
        <v>0</v>
      </c>
      <c r="AP143" s="300">
        <f t="shared" si="99"/>
        <v>0</v>
      </c>
      <c r="AQ143" s="292" t="e">
        <f t="shared" si="95"/>
        <v>#DIV/0!</v>
      </c>
      <c r="AR143" s="300"/>
      <c r="AS143" s="300"/>
      <c r="AT143" s="295" t="e">
        <f t="shared" si="64"/>
        <v>#DIV/0!</v>
      </c>
      <c r="AU143" s="300"/>
      <c r="AV143" s="300"/>
      <c r="AW143" s="295" t="e">
        <f t="shared" si="65"/>
        <v>#DIV/0!</v>
      </c>
      <c r="AX143" s="300"/>
      <c r="AY143" s="304"/>
      <c r="AZ143" s="294" t="e">
        <f t="shared" si="66"/>
        <v>#DIV/0!</v>
      </c>
      <c r="BA143" s="280">
        <f aca="true" t="shared" si="100" ref="BA143:BB146">AX143+AU143+AR143</f>
        <v>0</v>
      </c>
      <c r="BB143" s="280">
        <f t="shared" si="100"/>
        <v>0</v>
      </c>
      <c r="BC143" s="292" t="e">
        <f t="shared" si="96"/>
        <v>#DIV/0!</v>
      </c>
      <c r="BD143" s="304">
        <f>I143+L143+O143+U143+X143+AA143+AG143+AJ143+AM143+AS143+AV143+AY143</f>
        <v>284800</v>
      </c>
      <c r="BE143" s="296">
        <f t="shared" si="67"/>
        <v>0.18986666666666666</v>
      </c>
      <c r="BF143" s="308">
        <f t="shared" si="72"/>
        <v>1215200</v>
      </c>
    </row>
    <row r="144" spans="1:58" ht="19.5" thickBot="1">
      <c r="A144" s="298">
        <v>2</v>
      </c>
      <c r="B144" s="299">
        <v>3</v>
      </c>
      <c r="C144" s="299">
        <v>7</v>
      </c>
      <c r="D144" s="299">
        <v>1</v>
      </c>
      <c r="E144" s="402" t="s">
        <v>150</v>
      </c>
      <c r="F144" s="90" t="s">
        <v>46</v>
      </c>
      <c r="G144" s="300">
        <v>1500000</v>
      </c>
      <c r="H144" s="300"/>
      <c r="I144" s="304">
        <v>34800</v>
      </c>
      <c r="J144" s="289" t="e">
        <f t="shared" si="55"/>
        <v>#DIV/0!</v>
      </c>
      <c r="K144" s="302"/>
      <c r="L144" s="300">
        <v>130700</v>
      </c>
      <c r="M144" s="291" t="e">
        <f t="shared" si="56"/>
        <v>#DIV/0!</v>
      </c>
      <c r="N144" s="300"/>
      <c r="O144" s="300">
        <v>86400</v>
      </c>
      <c r="P144" s="291" t="e">
        <f t="shared" si="57"/>
        <v>#DIV/0!</v>
      </c>
      <c r="Q144" s="280">
        <f t="shared" si="97"/>
        <v>0</v>
      </c>
      <c r="R144" s="280">
        <f t="shared" si="97"/>
        <v>251900</v>
      </c>
      <c r="S144" s="292" t="e">
        <f t="shared" si="73"/>
        <v>#DIV/0!</v>
      </c>
      <c r="T144" s="300"/>
      <c r="U144" s="304"/>
      <c r="V144" s="291" t="e">
        <f t="shared" si="58"/>
        <v>#DIV/0!</v>
      </c>
      <c r="W144" s="300"/>
      <c r="X144" s="304"/>
      <c r="Y144" s="291" t="e">
        <f t="shared" si="59"/>
        <v>#DIV/0!</v>
      </c>
      <c r="Z144" s="300"/>
      <c r="AA144" s="304"/>
      <c r="AB144" s="291" t="e">
        <f t="shared" si="60"/>
        <v>#DIV/0!</v>
      </c>
      <c r="AC144" s="280">
        <f t="shared" si="98"/>
        <v>0</v>
      </c>
      <c r="AD144" s="280">
        <f t="shared" si="98"/>
        <v>0</v>
      </c>
      <c r="AE144" s="292" t="e">
        <f t="shared" si="86"/>
        <v>#DIV/0!</v>
      </c>
      <c r="AF144" s="300"/>
      <c r="AG144" s="304"/>
      <c r="AH144" s="293" t="e">
        <f t="shared" si="61"/>
        <v>#DIV/0!</v>
      </c>
      <c r="AI144" s="300"/>
      <c r="AJ144" s="304"/>
      <c r="AK144" s="294" t="e">
        <f t="shared" si="62"/>
        <v>#DIV/0!</v>
      </c>
      <c r="AL144" s="90"/>
      <c r="AM144" s="90"/>
      <c r="AN144" s="295" t="e">
        <f t="shared" si="63"/>
        <v>#DIV/0!</v>
      </c>
      <c r="AO144" s="300">
        <f t="shared" si="99"/>
        <v>0</v>
      </c>
      <c r="AP144" s="300">
        <f t="shared" si="99"/>
        <v>0</v>
      </c>
      <c r="AQ144" s="292" t="e">
        <f t="shared" si="95"/>
        <v>#DIV/0!</v>
      </c>
      <c r="AR144" s="300"/>
      <c r="AS144" s="300"/>
      <c r="AT144" s="295" t="e">
        <f t="shared" si="64"/>
        <v>#DIV/0!</v>
      </c>
      <c r="AU144" s="300"/>
      <c r="AV144" s="300"/>
      <c r="AW144" s="295" t="e">
        <f t="shared" si="65"/>
        <v>#DIV/0!</v>
      </c>
      <c r="AX144" s="300"/>
      <c r="AY144" s="304"/>
      <c r="AZ144" s="294" t="e">
        <f t="shared" si="66"/>
        <v>#DIV/0!</v>
      </c>
      <c r="BA144" s="280">
        <f t="shared" si="100"/>
        <v>0</v>
      </c>
      <c r="BB144" s="280">
        <f t="shared" si="100"/>
        <v>0</v>
      </c>
      <c r="BC144" s="292" t="e">
        <f t="shared" si="96"/>
        <v>#DIV/0!</v>
      </c>
      <c r="BD144" s="304">
        <f>I144+L144+O144+U144+X144+AA144+AG144+AJ144+AM144+AS144+AV144+AY144</f>
        <v>251900</v>
      </c>
      <c r="BE144" s="296">
        <f t="shared" si="67"/>
        <v>0.16793333333333332</v>
      </c>
      <c r="BF144" s="308">
        <f t="shared" si="72"/>
        <v>1248100</v>
      </c>
    </row>
    <row r="145" spans="1:58" ht="19.5" thickBot="1">
      <c r="A145" s="298">
        <v>2</v>
      </c>
      <c r="B145" s="299">
        <v>3</v>
      </c>
      <c r="C145" s="299">
        <v>7</v>
      </c>
      <c r="D145" s="299">
        <v>1</v>
      </c>
      <c r="E145" s="402" t="s">
        <v>152</v>
      </c>
      <c r="F145" s="90" t="s">
        <v>15</v>
      </c>
      <c r="G145" s="300">
        <v>15000</v>
      </c>
      <c r="H145" s="300"/>
      <c r="I145" s="304"/>
      <c r="J145" s="289" t="e">
        <f t="shared" si="55"/>
        <v>#DIV/0!</v>
      </c>
      <c r="K145" s="302"/>
      <c r="L145" s="300"/>
      <c r="M145" s="291" t="e">
        <f t="shared" si="56"/>
        <v>#DIV/0!</v>
      </c>
      <c r="N145" s="300"/>
      <c r="O145" s="300">
        <v>1000</v>
      </c>
      <c r="P145" s="291" t="e">
        <f t="shared" si="57"/>
        <v>#DIV/0!</v>
      </c>
      <c r="Q145" s="280">
        <f t="shared" si="97"/>
        <v>0</v>
      </c>
      <c r="R145" s="280">
        <f t="shared" si="97"/>
        <v>1000</v>
      </c>
      <c r="S145" s="292" t="e">
        <f t="shared" si="73"/>
        <v>#DIV/0!</v>
      </c>
      <c r="T145" s="300"/>
      <c r="U145" s="304"/>
      <c r="V145" s="291" t="e">
        <f t="shared" si="58"/>
        <v>#DIV/0!</v>
      </c>
      <c r="W145" s="300"/>
      <c r="X145" s="304"/>
      <c r="Y145" s="291" t="e">
        <f t="shared" si="59"/>
        <v>#DIV/0!</v>
      </c>
      <c r="Z145" s="300"/>
      <c r="AA145" s="304"/>
      <c r="AB145" s="291" t="e">
        <f t="shared" si="60"/>
        <v>#DIV/0!</v>
      </c>
      <c r="AC145" s="280">
        <f t="shared" si="98"/>
        <v>0</v>
      </c>
      <c r="AD145" s="280">
        <f t="shared" si="98"/>
        <v>0</v>
      </c>
      <c r="AE145" s="292" t="e">
        <f t="shared" si="86"/>
        <v>#DIV/0!</v>
      </c>
      <c r="AF145" s="300"/>
      <c r="AG145" s="304"/>
      <c r="AH145" s="293" t="e">
        <f t="shared" si="61"/>
        <v>#DIV/0!</v>
      </c>
      <c r="AI145" s="300"/>
      <c r="AJ145" s="304"/>
      <c r="AK145" s="294" t="e">
        <f t="shared" si="62"/>
        <v>#DIV/0!</v>
      </c>
      <c r="AL145" s="90"/>
      <c r="AM145" s="90"/>
      <c r="AN145" s="295" t="e">
        <f t="shared" si="63"/>
        <v>#DIV/0!</v>
      </c>
      <c r="AO145" s="300">
        <f t="shared" si="99"/>
        <v>0</v>
      </c>
      <c r="AP145" s="300">
        <f t="shared" si="99"/>
        <v>0</v>
      </c>
      <c r="AQ145" s="292" t="e">
        <f t="shared" si="95"/>
        <v>#DIV/0!</v>
      </c>
      <c r="AR145" s="300"/>
      <c r="AS145" s="300"/>
      <c r="AT145" s="295" t="e">
        <f t="shared" si="64"/>
        <v>#DIV/0!</v>
      </c>
      <c r="AU145" s="300"/>
      <c r="AV145" s="300"/>
      <c r="AW145" s="295" t="e">
        <f t="shared" si="65"/>
        <v>#DIV/0!</v>
      </c>
      <c r="AX145" s="300"/>
      <c r="AY145" s="304"/>
      <c r="AZ145" s="294" t="e">
        <f t="shared" si="66"/>
        <v>#DIV/0!</v>
      </c>
      <c r="BA145" s="280">
        <f t="shared" si="100"/>
        <v>0</v>
      </c>
      <c r="BB145" s="280">
        <f t="shared" si="100"/>
        <v>0</v>
      </c>
      <c r="BC145" s="292" t="e">
        <f t="shared" si="96"/>
        <v>#DIV/0!</v>
      </c>
      <c r="BD145" s="304">
        <f>I145+L145+O145+U145+X145+AA145+AG145+AJ145+AM145+AS145+AV145+AY145</f>
        <v>1000</v>
      </c>
      <c r="BE145" s="296">
        <f t="shared" si="67"/>
        <v>0.06666666666666667</v>
      </c>
      <c r="BF145" s="308">
        <f t="shared" si="72"/>
        <v>14000</v>
      </c>
    </row>
    <row r="146" spans="1:58" ht="19.5" thickBot="1">
      <c r="A146" s="298">
        <v>2</v>
      </c>
      <c r="B146" s="299">
        <v>3</v>
      </c>
      <c r="C146" s="299">
        <v>7</v>
      </c>
      <c r="D146" s="299">
        <v>1</v>
      </c>
      <c r="E146" s="402" t="s">
        <v>156</v>
      </c>
      <c r="F146" s="90" t="s">
        <v>47</v>
      </c>
      <c r="G146" s="300">
        <v>25000</v>
      </c>
      <c r="H146" s="300"/>
      <c r="I146" s="304"/>
      <c r="J146" s="289" t="e">
        <f t="shared" si="55"/>
        <v>#DIV/0!</v>
      </c>
      <c r="K146" s="302"/>
      <c r="L146" s="300"/>
      <c r="M146" s="291" t="e">
        <f t="shared" si="56"/>
        <v>#DIV/0!</v>
      </c>
      <c r="N146" s="300"/>
      <c r="O146" s="300"/>
      <c r="P146" s="291" t="e">
        <f t="shared" si="57"/>
        <v>#DIV/0!</v>
      </c>
      <c r="Q146" s="280">
        <f t="shared" si="97"/>
        <v>0</v>
      </c>
      <c r="R146" s="280">
        <f t="shared" si="97"/>
        <v>0</v>
      </c>
      <c r="S146" s="292" t="e">
        <f t="shared" si="73"/>
        <v>#DIV/0!</v>
      </c>
      <c r="T146" s="300"/>
      <c r="U146" s="304"/>
      <c r="V146" s="291" t="e">
        <f t="shared" si="58"/>
        <v>#DIV/0!</v>
      </c>
      <c r="W146" s="300"/>
      <c r="X146" s="304"/>
      <c r="Y146" s="291" t="e">
        <f t="shared" si="59"/>
        <v>#DIV/0!</v>
      </c>
      <c r="Z146" s="300"/>
      <c r="AA146" s="304"/>
      <c r="AB146" s="291" t="e">
        <f t="shared" si="60"/>
        <v>#DIV/0!</v>
      </c>
      <c r="AC146" s="280">
        <f t="shared" si="98"/>
        <v>0</v>
      </c>
      <c r="AD146" s="280">
        <f t="shared" si="98"/>
        <v>0</v>
      </c>
      <c r="AE146" s="292" t="e">
        <f t="shared" si="86"/>
        <v>#DIV/0!</v>
      </c>
      <c r="AF146" s="300"/>
      <c r="AG146" s="304"/>
      <c r="AH146" s="293" t="e">
        <f t="shared" si="61"/>
        <v>#DIV/0!</v>
      </c>
      <c r="AI146" s="300"/>
      <c r="AJ146" s="304"/>
      <c r="AK146" s="294" t="e">
        <f t="shared" si="62"/>
        <v>#DIV/0!</v>
      </c>
      <c r="AL146" s="90"/>
      <c r="AM146" s="90"/>
      <c r="AN146" s="295" t="e">
        <f t="shared" si="63"/>
        <v>#DIV/0!</v>
      </c>
      <c r="AO146" s="300">
        <f t="shared" si="99"/>
        <v>0</v>
      </c>
      <c r="AP146" s="300">
        <f t="shared" si="99"/>
        <v>0</v>
      </c>
      <c r="AQ146" s="292" t="e">
        <f t="shared" si="95"/>
        <v>#DIV/0!</v>
      </c>
      <c r="AR146" s="300"/>
      <c r="AS146" s="300"/>
      <c r="AT146" s="295" t="e">
        <f t="shared" si="64"/>
        <v>#DIV/0!</v>
      </c>
      <c r="AU146" s="300"/>
      <c r="AV146" s="300"/>
      <c r="AW146" s="295" t="e">
        <f t="shared" si="65"/>
        <v>#DIV/0!</v>
      </c>
      <c r="AX146" s="300"/>
      <c r="AY146" s="304"/>
      <c r="AZ146" s="294" t="e">
        <f t="shared" si="66"/>
        <v>#DIV/0!</v>
      </c>
      <c r="BA146" s="280">
        <f t="shared" si="100"/>
        <v>0</v>
      </c>
      <c r="BB146" s="280">
        <f t="shared" si="100"/>
        <v>0</v>
      </c>
      <c r="BC146" s="292" t="e">
        <f t="shared" si="96"/>
        <v>#DIV/0!</v>
      </c>
      <c r="BD146" s="304">
        <f>I146+L146+O146+U146+X146+AA146+AG146+AJ146+AM146+AS146+AV146+AY146</f>
        <v>0</v>
      </c>
      <c r="BE146" s="296">
        <f t="shared" si="67"/>
        <v>0</v>
      </c>
      <c r="BF146" s="308">
        <f t="shared" si="72"/>
        <v>25000</v>
      </c>
    </row>
    <row r="147" spans="1:58" ht="13.5" thickBot="1">
      <c r="A147" s="286">
        <v>2</v>
      </c>
      <c r="B147" s="231">
        <v>3</v>
      </c>
      <c r="C147" s="231">
        <v>9</v>
      </c>
      <c r="D147" s="299"/>
      <c r="E147" s="403"/>
      <c r="F147" s="155" t="s">
        <v>165</v>
      </c>
      <c r="G147" s="287">
        <f>SUM(G148:G153)</f>
        <v>125000</v>
      </c>
      <c r="H147" s="287">
        <f>SUM(H148:H153)</f>
        <v>0</v>
      </c>
      <c r="I147" s="288">
        <f>SUM(I148:I153)</f>
        <v>0</v>
      </c>
      <c r="J147" s="289" t="e">
        <f aca="true" t="shared" si="101" ref="J147:J189">I147/H147</f>
        <v>#DIV/0!</v>
      </c>
      <c r="K147" s="290">
        <f>SUM(K148:K153)</f>
        <v>0</v>
      </c>
      <c r="L147" s="287">
        <f>SUM(L148:L153)</f>
        <v>0</v>
      </c>
      <c r="M147" s="291" t="e">
        <f aca="true" t="shared" si="102" ref="M147:M189">L147/K147</f>
        <v>#DIV/0!</v>
      </c>
      <c r="N147" s="287">
        <f>SUM(N148:N153)</f>
        <v>0</v>
      </c>
      <c r="O147" s="287">
        <f>SUM(O148:O153)</f>
        <v>1979.09</v>
      </c>
      <c r="P147" s="291" t="e">
        <f aca="true" t="shared" si="103" ref="P147:P189">O147/N147</f>
        <v>#DIV/0!</v>
      </c>
      <c r="Q147" s="287">
        <f>SUM(Q148:Q153)</f>
        <v>0</v>
      </c>
      <c r="R147" s="287">
        <f>SUM(R148:R153)</f>
        <v>1979.09</v>
      </c>
      <c r="S147" s="292" t="e">
        <f t="shared" si="73"/>
        <v>#DIV/0!</v>
      </c>
      <c r="T147" s="287">
        <f>SUM(T148:T153)</f>
        <v>0</v>
      </c>
      <c r="U147" s="288">
        <f>SUM(U148:U153)</f>
        <v>0</v>
      </c>
      <c r="V147" s="291" t="e">
        <f aca="true" t="shared" si="104" ref="V147:V189">U147/T147</f>
        <v>#DIV/0!</v>
      </c>
      <c r="W147" s="287">
        <f>SUM(W148:W153)</f>
        <v>0</v>
      </c>
      <c r="X147" s="288">
        <f>SUM(X148:X153)</f>
        <v>0</v>
      </c>
      <c r="Y147" s="291" t="e">
        <f aca="true" t="shared" si="105" ref="Y147:Y189">X147/W147</f>
        <v>#DIV/0!</v>
      </c>
      <c r="Z147" s="287">
        <f>SUM(Z148:Z153)</f>
        <v>0</v>
      </c>
      <c r="AA147" s="288">
        <f>SUM(AA148:AA153)</f>
        <v>0</v>
      </c>
      <c r="AB147" s="291" t="e">
        <f aca="true" t="shared" si="106" ref="AB147:AB189">AA147/Z147</f>
        <v>#DIV/0!</v>
      </c>
      <c r="AC147" s="287">
        <f>SUM(AC148:AC153)</f>
        <v>0</v>
      </c>
      <c r="AD147" s="287">
        <f>SUM(AD148:AD153)</f>
        <v>0</v>
      </c>
      <c r="AE147" s="292" t="e">
        <f t="shared" si="86"/>
        <v>#DIV/0!</v>
      </c>
      <c r="AF147" s="287">
        <f>SUM(AF148:AF153)</f>
        <v>0</v>
      </c>
      <c r="AG147" s="288">
        <f>SUM(AG148:AG153)</f>
        <v>0</v>
      </c>
      <c r="AH147" s="293" t="e">
        <f aca="true" t="shared" si="107" ref="AH147:AH186">AG147/AF147</f>
        <v>#DIV/0!</v>
      </c>
      <c r="AI147" s="287">
        <f>SUM(AI148:AI153)</f>
        <v>0</v>
      </c>
      <c r="AJ147" s="288">
        <f>SUM(AJ148:AJ153)</f>
        <v>0</v>
      </c>
      <c r="AK147" s="294" t="e">
        <f aca="true" t="shared" si="108" ref="AK147:AK189">AJ147/AI147</f>
        <v>#DIV/0!</v>
      </c>
      <c r="AL147" s="287">
        <f>SUM(AL148:AL153)</f>
        <v>0</v>
      </c>
      <c r="AM147" s="287">
        <f>SUM(AM148:AM153)</f>
        <v>0</v>
      </c>
      <c r="AN147" s="295" t="e">
        <f aca="true" t="shared" si="109" ref="AN147:AN170">AM147/AL147</f>
        <v>#DIV/0!</v>
      </c>
      <c r="AO147" s="287">
        <f>SUM(AO148:AO153)</f>
        <v>0</v>
      </c>
      <c r="AP147" s="287">
        <f>SUM(AP148:AP153)</f>
        <v>0</v>
      </c>
      <c r="AQ147" s="292" t="e">
        <f t="shared" si="95"/>
        <v>#DIV/0!</v>
      </c>
      <c r="AR147" s="287"/>
      <c r="AS147" s="287"/>
      <c r="AT147" s="295" t="e">
        <f aca="true" t="shared" si="110" ref="AT147:AT189">AS147/AR147</f>
        <v>#DIV/0!</v>
      </c>
      <c r="AU147" s="287"/>
      <c r="AV147" s="287"/>
      <c r="AW147" s="295" t="e">
        <f aca="true" t="shared" si="111" ref="AW147:AW189">AV147/AU147</f>
        <v>#DIV/0!</v>
      </c>
      <c r="AX147" s="287">
        <f>SUM(AX148:AX153)</f>
        <v>0</v>
      </c>
      <c r="AY147" s="288">
        <f>SUM(AY148:AY153)</f>
        <v>0</v>
      </c>
      <c r="AZ147" s="294" t="e">
        <f aca="true" t="shared" si="112" ref="AZ147:AZ189">AY147/AX147</f>
        <v>#DIV/0!</v>
      </c>
      <c r="BA147" s="287">
        <f>SUM(BA148:BA153)</f>
        <v>0</v>
      </c>
      <c r="BB147" s="287">
        <f>SUM(BB148:BB153)</f>
        <v>0</v>
      </c>
      <c r="BC147" s="292" t="e">
        <f t="shared" si="96"/>
        <v>#DIV/0!</v>
      </c>
      <c r="BD147" s="288">
        <f>SUM(BD148:BD153)</f>
        <v>1979.09</v>
      </c>
      <c r="BE147" s="296">
        <f aca="true" t="shared" si="113" ref="BE147:BE189">BD147/G147</f>
        <v>0.015832719999999998</v>
      </c>
      <c r="BF147" s="297">
        <f t="shared" si="72"/>
        <v>123020.91</v>
      </c>
    </row>
    <row r="148" spans="1:58" ht="13.5" thickBot="1">
      <c r="A148" s="286">
        <v>2</v>
      </c>
      <c r="B148" s="231">
        <v>3</v>
      </c>
      <c r="C148" s="231">
        <v>9</v>
      </c>
      <c r="D148" s="231">
        <v>1</v>
      </c>
      <c r="E148" s="401"/>
      <c r="F148" s="155" t="s">
        <v>48</v>
      </c>
      <c r="G148" s="287">
        <v>30000</v>
      </c>
      <c r="H148" s="287"/>
      <c r="I148" s="288"/>
      <c r="J148" s="289" t="e">
        <f t="shared" si="101"/>
        <v>#DIV/0!</v>
      </c>
      <c r="K148" s="290"/>
      <c r="L148" s="287"/>
      <c r="M148" s="291" t="e">
        <f t="shared" si="102"/>
        <v>#DIV/0!</v>
      </c>
      <c r="N148" s="287"/>
      <c r="O148" s="287"/>
      <c r="P148" s="291" t="e">
        <f t="shared" si="103"/>
        <v>#DIV/0!</v>
      </c>
      <c r="Q148" s="280">
        <f aca="true" t="shared" si="114" ref="Q148:R153">N148+K148+H148</f>
        <v>0</v>
      </c>
      <c r="R148" s="280">
        <f t="shared" si="114"/>
        <v>0</v>
      </c>
      <c r="S148" s="292" t="e">
        <f t="shared" si="73"/>
        <v>#DIV/0!</v>
      </c>
      <c r="T148" s="287"/>
      <c r="U148" s="288"/>
      <c r="V148" s="291" t="e">
        <f t="shared" si="104"/>
        <v>#DIV/0!</v>
      </c>
      <c r="W148" s="287"/>
      <c r="X148" s="288"/>
      <c r="Y148" s="291" t="e">
        <f t="shared" si="105"/>
        <v>#DIV/0!</v>
      </c>
      <c r="Z148" s="287"/>
      <c r="AA148" s="288"/>
      <c r="AB148" s="291" t="e">
        <f t="shared" si="106"/>
        <v>#DIV/0!</v>
      </c>
      <c r="AC148" s="280">
        <f aca="true" t="shared" si="115" ref="AC148:AD153">Z148+W148+T148</f>
        <v>0</v>
      </c>
      <c r="AD148" s="280">
        <f t="shared" si="115"/>
        <v>0</v>
      </c>
      <c r="AE148" s="292" t="e">
        <f t="shared" si="86"/>
        <v>#DIV/0!</v>
      </c>
      <c r="AF148" s="287"/>
      <c r="AG148" s="288"/>
      <c r="AH148" s="293" t="e">
        <f t="shared" si="107"/>
        <v>#DIV/0!</v>
      </c>
      <c r="AI148" s="287"/>
      <c r="AJ148" s="288"/>
      <c r="AK148" s="294" t="e">
        <f t="shared" si="108"/>
        <v>#DIV/0!</v>
      </c>
      <c r="AL148" s="155"/>
      <c r="AM148" s="155"/>
      <c r="AN148" s="295" t="e">
        <f t="shared" si="109"/>
        <v>#DIV/0!</v>
      </c>
      <c r="AO148" s="300">
        <f aca="true" t="shared" si="116" ref="AO148:AP153">AL148+AI148+AF148</f>
        <v>0</v>
      </c>
      <c r="AP148" s="300">
        <f t="shared" si="116"/>
        <v>0</v>
      </c>
      <c r="AQ148" s="292" t="e">
        <f t="shared" si="95"/>
        <v>#DIV/0!</v>
      </c>
      <c r="AR148" s="287"/>
      <c r="AS148" s="287"/>
      <c r="AT148" s="295" t="e">
        <f t="shared" si="110"/>
        <v>#DIV/0!</v>
      </c>
      <c r="AU148" s="287"/>
      <c r="AV148" s="287"/>
      <c r="AW148" s="295" t="e">
        <f t="shared" si="111"/>
        <v>#DIV/0!</v>
      </c>
      <c r="AX148" s="287"/>
      <c r="AY148" s="288"/>
      <c r="AZ148" s="294" t="e">
        <f t="shared" si="112"/>
        <v>#DIV/0!</v>
      </c>
      <c r="BA148" s="280">
        <f aca="true" t="shared" si="117" ref="BA148:BB153">AX148+AU148+AR148</f>
        <v>0</v>
      </c>
      <c r="BB148" s="280">
        <f t="shared" si="117"/>
        <v>0</v>
      </c>
      <c r="BC148" s="292" t="e">
        <f t="shared" si="96"/>
        <v>#DIV/0!</v>
      </c>
      <c r="BD148" s="304">
        <f aca="true" t="shared" si="118" ref="BD148:BD153">I148+L148+O148+U148+X148+AA148+AG148+AJ148+AM148+AS148+AV148+AY148</f>
        <v>0</v>
      </c>
      <c r="BE148" s="296">
        <f t="shared" si="113"/>
        <v>0</v>
      </c>
      <c r="BF148" s="297">
        <f t="shared" si="72"/>
        <v>30000</v>
      </c>
    </row>
    <row r="149" spans="1:58" ht="21.75">
      <c r="A149" s="313">
        <v>2</v>
      </c>
      <c r="B149" s="314">
        <v>3</v>
      </c>
      <c r="C149" s="314">
        <v>9</v>
      </c>
      <c r="D149" s="314">
        <v>2</v>
      </c>
      <c r="E149" s="408"/>
      <c r="F149" s="154" t="s">
        <v>148</v>
      </c>
      <c r="G149" s="315">
        <v>40000</v>
      </c>
      <c r="H149" s="315"/>
      <c r="I149" s="325"/>
      <c r="J149" s="317" t="e">
        <f t="shared" si="101"/>
        <v>#DIV/0!</v>
      </c>
      <c r="K149" s="347"/>
      <c r="L149" s="315"/>
      <c r="M149" s="320" t="e">
        <f t="shared" si="102"/>
        <v>#DIV/0!</v>
      </c>
      <c r="N149" s="315"/>
      <c r="O149" s="315"/>
      <c r="P149" s="320" t="e">
        <f t="shared" si="103"/>
        <v>#DIV/0!</v>
      </c>
      <c r="Q149" s="321">
        <f t="shared" si="114"/>
        <v>0</v>
      </c>
      <c r="R149" s="321">
        <f t="shared" si="114"/>
        <v>0</v>
      </c>
      <c r="S149" s="322" t="e">
        <f t="shared" si="73"/>
        <v>#DIV/0!</v>
      </c>
      <c r="T149" s="315"/>
      <c r="U149" s="325"/>
      <c r="V149" s="320" t="e">
        <f t="shared" si="104"/>
        <v>#DIV/0!</v>
      </c>
      <c r="W149" s="315"/>
      <c r="X149" s="325"/>
      <c r="Y149" s="320" t="e">
        <f t="shared" si="105"/>
        <v>#DIV/0!</v>
      </c>
      <c r="Z149" s="315"/>
      <c r="AA149" s="325"/>
      <c r="AB149" s="320" t="e">
        <f t="shared" si="106"/>
        <v>#DIV/0!</v>
      </c>
      <c r="AC149" s="321">
        <f t="shared" si="115"/>
        <v>0</v>
      </c>
      <c r="AD149" s="321">
        <f t="shared" si="115"/>
        <v>0</v>
      </c>
      <c r="AE149" s="322" t="e">
        <f t="shared" si="86"/>
        <v>#DIV/0!</v>
      </c>
      <c r="AF149" s="315"/>
      <c r="AG149" s="325"/>
      <c r="AH149" s="293" t="e">
        <f t="shared" si="107"/>
        <v>#DIV/0!</v>
      </c>
      <c r="AI149" s="315"/>
      <c r="AJ149" s="325"/>
      <c r="AK149" s="323" t="e">
        <f t="shared" si="108"/>
        <v>#DIV/0!</v>
      </c>
      <c r="AL149" s="154"/>
      <c r="AM149" s="154"/>
      <c r="AN149" s="324" t="e">
        <f t="shared" si="109"/>
        <v>#DIV/0!</v>
      </c>
      <c r="AO149" s="319">
        <f t="shared" si="116"/>
        <v>0</v>
      </c>
      <c r="AP149" s="319">
        <f t="shared" si="116"/>
        <v>0</v>
      </c>
      <c r="AQ149" s="322" t="e">
        <f t="shared" si="95"/>
        <v>#DIV/0!</v>
      </c>
      <c r="AR149" s="315"/>
      <c r="AS149" s="315"/>
      <c r="AT149" s="324" t="e">
        <f t="shared" si="110"/>
        <v>#DIV/0!</v>
      </c>
      <c r="AU149" s="315"/>
      <c r="AV149" s="315"/>
      <c r="AW149" s="324" t="e">
        <f t="shared" si="111"/>
        <v>#DIV/0!</v>
      </c>
      <c r="AX149" s="315"/>
      <c r="AY149" s="325"/>
      <c r="AZ149" s="323" t="e">
        <f t="shared" si="112"/>
        <v>#DIV/0!</v>
      </c>
      <c r="BA149" s="321">
        <f t="shared" si="117"/>
        <v>0</v>
      </c>
      <c r="BB149" s="321">
        <f t="shared" si="117"/>
        <v>0</v>
      </c>
      <c r="BC149" s="322" t="e">
        <f t="shared" si="96"/>
        <v>#DIV/0!</v>
      </c>
      <c r="BD149" s="316">
        <f t="shared" si="118"/>
        <v>0</v>
      </c>
      <c r="BE149" s="348">
        <f t="shared" si="113"/>
        <v>0</v>
      </c>
      <c r="BF149" s="349">
        <f t="shared" si="72"/>
        <v>40000</v>
      </c>
    </row>
    <row r="150" spans="1:58" ht="21.75">
      <c r="A150" s="231">
        <v>2</v>
      </c>
      <c r="B150" s="231">
        <v>3</v>
      </c>
      <c r="C150" s="231">
        <v>9</v>
      </c>
      <c r="D150" s="231">
        <v>4</v>
      </c>
      <c r="E150" s="412"/>
      <c r="F150" s="231" t="s">
        <v>145</v>
      </c>
      <c r="G150" s="360">
        <v>15000</v>
      </c>
      <c r="H150" s="360"/>
      <c r="I150" s="360"/>
      <c r="J150" s="361" t="e">
        <f t="shared" si="101"/>
        <v>#DIV/0!</v>
      </c>
      <c r="K150" s="360"/>
      <c r="L150" s="360"/>
      <c r="M150" s="362" t="e">
        <f t="shared" si="102"/>
        <v>#DIV/0!</v>
      </c>
      <c r="N150" s="360"/>
      <c r="O150" s="360"/>
      <c r="P150" s="362" t="e">
        <f t="shared" si="103"/>
        <v>#DIV/0!</v>
      </c>
      <c r="Q150" s="363">
        <f t="shared" si="114"/>
        <v>0</v>
      </c>
      <c r="R150" s="363">
        <f t="shared" si="114"/>
        <v>0</v>
      </c>
      <c r="S150" s="364" t="e">
        <f t="shared" si="73"/>
        <v>#DIV/0!</v>
      </c>
      <c r="T150" s="360"/>
      <c r="U150" s="360"/>
      <c r="V150" s="362" t="e">
        <f t="shared" si="104"/>
        <v>#DIV/0!</v>
      </c>
      <c r="W150" s="360"/>
      <c r="X150" s="360"/>
      <c r="Y150" s="362" t="e">
        <f t="shared" si="105"/>
        <v>#DIV/0!</v>
      </c>
      <c r="Z150" s="360"/>
      <c r="AA150" s="360"/>
      <c r="AB150" s="362" t="e">
        <f t="shared" si="106"/>
        <v>#DIV/0!</v>
      </c>
      <c r="AC150" s="363">
        <f t="shared" si="115"/>
        <v>0</v>
      </c>
      <c r="AD150" s="363">
        <f t="shared" si="115"/>
        <v>0</v>
      </c>
      <c r="AE150" s="364" t="e">
        <f t="shared" si="86"/>
        <v>#DIV/0!</v>
      </c>
      <c r="AF150" s="360"/>
      <c r="AG150" s="360"/>
      <c r="AH150" s="365" t="e">
        <f t="shared" si="107"/>
        <v>#DIV/0!</v>
      </c>
      <c r="AI150" s="360"/>
      <c r="AJ150" s="360"/>
      <c r="AK150" s="360" t="e">
        <f t="shared" si="108"/>
        <v>#DIV/0!</v>
      </c>
      <c r="AL150" s="231"/>
      <c r="AM150" s="231"/>
      <c r="AN150" s="360" t="e">
        <f t="shared" si="109"/>
        <v>#DIV/0!</v>
      </c>
      <c r="AO150" s="366">
        <f t="shared" si="116"/>
        <v>0</v>
      </c>
      <c r="AP150" s="366">
        <f t="shared" si="116"/>
        <v>0</v>
      </c>
      <c r="AQ150" s="364" t="e">
        <f t="shared" si="95"/>
        <v>#DIV/0!</v>
      </c>
      <c r="AR150" s="360"/>
      <c r="AS150" s="360"/>
      <c r="AT150" s="360" t="e">
        <f t="shared" si="110"/>
        <v>#DIV/0!</v>
      </c>
      <c r="AU150" s="360"/>
      <c r="AV150" s="360"/>
      <c r="AW150" s="360" t="e">
        <f t="shared" si="111"/>
        <v>#DIV/0!</v>
      </c>
      <c r="AX150" s="360"/>
      <c r="AY150" s="360"/>
      <c r="AZ150" s="360" t="e">
        <f t="shared" si="112"/>
        <v>#DIV/0!</v>
      </c>
      <c r="BA150" s="363">
        <f t="shared" si="117"/>
        <v>0</v>
      </c>
      <c r="BB150" s="363">
        <f t="shared" si="117"/>
        <v>0</v>
      </c>
      <c r="BC150" s="364" t="e">
        <f t="shared" si="96"/>
        <v>#DIV/0!</v>
      </c>
      <c r="BD150" s="366">
        <f t="shared" si="118"/>
        <v>0</v>
      </c>
      <c r="BE150" s="362">
        <f t="shared" si="113"/>
        <v>0</v>
      </c>
      <c r="BF150" s="367">
        <f aca="true" t="shared" si="119" ref="BF150:BF173">G150-(I150+L150+O150+U150+X150+AA150+AG150+AJ150+AM150+AS150+AV150+AY150)</f>
        <v>15000</v>
      </c>
    </row>
    <row r="151" spans="1:58" ht="12.75">
      <c r="A151" s="368">
        <v>2</v>
      </c>
      <c r="B151" s="369">
        <v>3</v>
      </c>
      <c r="C151" s="369">
        <v>9</v>
      </c>
      <c r="D151" s="369">
        <v>5</v>
      </c>
      <c r="E151" s="413"/>
      <c r="F151" s="243" t="s">
        <v>146</v>
      </c>
      <c r="G151" s="370">
        <v>15000</v>
      </c>
      <c r="H151" s="370"/>
      <c r="I151" s="371"/>
      <c r="J151" s="372" t="e">
        <f t="shared" si="101"/>
        <v>#DIV/0!</v>
      </c>
      <c r="K151" s="373"/>
      <c r="L151" s="370"/>
      <c r="M151" s="284" t="e">
        <f t="shared" si="102"/>
        <v>#DIV/0!</v>
      </c>
      <c r="N151" s="370"/>
      <c r="O151" s="370">
        <v>150</v>
      </c>
      <c r="P151" s="284" t="e">
        <f t="shared" si="103"/>
        <v>#DIV/0!</v>
      </c>
      <c r="Q151" s="374">
        <f t="shared" si="114"/>
        <v>0</v>
      </c>
      <c r="R151" s="374">
        <f t="shared" si="114"/>
        <v>150</v>
      </c>
      <c r="S151" s="375" t="e">
        <f aca="true" t="shared" si="120" ref="S151:S189">R151/Q151</f>
        <v>#DIV/0!</v>
      </c>
      <c r="T151" s="370"/>
      <c r="U151" s="371"/>
      <c r="V151" s="284" t="e">
        <f t="shared" si="104"/>
        <v>#DIV/0!</v>
      </c>
      <c r="W151" s="370"/>
      <c r="X151" s="371"/>
      <c r="Y151" s="284" t="e">
        <f t="shared" si="105"/>
        <v>#DIV/0!</v>
      </c>
      <c r="Z151" s="370"/>
      <c r="AA151" s="371"/>
      <c r="AB151" s="284" t="e">
        <f t="shared" si="106"/>
        <v>#DIV/0!</v>
      </c>
      <c r="AC151" s="374">
        <f t="shared" si="115"/>
        <v>0</v>
      </c>
      <c r="AD151" s="374">
        <f t="shared" si="115"/>
        <v>0</v>
      </c>
      <c r="AE151" s="375" t="e">
        <f t="shared" si="86"/>
        <v>#DIV/0!</v>
      </c>
      <c r="AF151" s="370"/>
      <c r="AG151" s="371"/>
      <c r="AH151" s="282" t="e">
        <f t="shared" si="107"/>
        <v>#DIV/0!</v>
      </c>
      <c r="AI151" s="370"/>
      <c r="AJ151" s="371"/>
      <c r="AK151" s="371" t="e">
        <f t="shared" si="108"/>
        <v>#DIV/0!</v>
      </c>
      <c r="AL151" s="243"/>
      <c r="AM151" s="243"/>
      <c r="AN151" s="370" t="e">
        <f t="shared" si="109"/>
        <v>#DIV/0!</v>
      </c>
      <c r="AO151" s="376">
        <f t="shared" si="116"/>
        <v>0</v>
      </c>
      <c r="AP151" s="376">
        <f t="shared" si="116"/>
        <v>0</v>
      </c>
      <c r="AQ151" s="375" t="e">
        <f t="shared" si="95"/>
        <v>#DIV/0!</v>
      </c>
      <c r="AR151" s="370"/>
      <c r="AS151" s="370"/>
      <c r="AT151" s="370" t="e">
        <f t="shared" si="110"/>
        <v>#DIV/0!</v>
      </c>
      <c r="AU151" s="370"/>
      <c r="AV151" s="370"/>
      <c r="AW151" s="370" t="e">
        <f t="shared" si="111"/>
        <v>#DIV/0!</v>
      </c>
      <c r="AX151" s="370"/>
      <c r="AY151" s="371"/>
      <c r="AZ151" s="371" t="e">
        <f t="shared" si="112"/>
        <v>#DIV/0!</v>
      </c>
      <c r="BA151" s="374">
        <f t="shared" si="117"/>
        <v>0</v>
      </c>
      <c r="BB151" s="374">
        <f t="shared" si="117"/>
        <v>0</v>
      </c>
      <c r="BC151" s="375" t="e">
        <f t="shared" si="96"/>
        <v>#DIV/0!</v>
      </c>
      <c r="BD151" s="377">
        <f t="shared" si="118"/>
        <v>150</v>
      </c>
      <c r="BE151" s="284">
        <f t="shared" si="113"/>
        <v>0.01</v>
      </c>
      <c r="BF151" s="378">
        <f t="shared" si="119"/>
        <v>14850</v>
      </c>
    </row>
    <row r="152" spans="1:58" ht="13.5" thickBot="1">
      <c r="A152" s="335">
        <v>2</v>
      </c>
      <c r="B152" s="336">
        <v>3</v>
      </c>
      <c r="C152" s="336">
        <v>9</v>
      </c>
      <c r="D152" s="336">
        <v>6</v>
      </c>
      <c r="E152" s="407"/>
      <c r="F152" s="253" t="s">
        <v>133</v>
      </c>
      <c r="G152" s="337">
        <v>15000</v>
      </c>
      <c r="H152" s="337"/>
      <c r="I152" s="338"/>
      <c r="J152" s="339" t="e">
        <f t="shared" si="101"/>
        <v>#DIV/0!</v>
      </c>
      <c r="K152" s="340"/>
      <c r="L152" s="337"/>
      <c r="M152" s="345" t="e">
        <f t="shared" si="102"/>
        <v>#DIV/0!</v>
      </c>
      <c r="N152" s="337"/>
      <c r="O152" s="337">
        <v>1624.07</v>
      </c>
      <c r="P152" s="345" t="e">
        <f t="shared" si="103"/>
        <v>#DIV/0!</v>
      </c>
      <c r="Q152" s="341">
        <f t="shared" si="114"/>
        <v>0</v>
      </c>
      <c r="R152" s="341">
        <f t="shared" si="114"/>
        <v>1624.07</v>
      </c>
      <c r="S152" s="342" t="e">
        <f t="shared" si="120"/>
        <v>#DIV/0!</v>
      </c>
      <c r="T152" s="337"/>
      <c r="U152" s="338"/>
      <c r="V152" s="345" t="e">
        <f t="shared" si="104"/>
        <v>#DIV/0!</v>
      </c>
      <c r="W152" s="337"/>
      <c r="X152" s="338"/>
      <c r="Y152" s="345" t="e">
        <f t="shared" si="105"/>
        <v>#DIV/0!</v>
      </c>
      <c r="Z152" s="337"/>
      <c r="AA152" s="338"/>
      <c r="AB152" s="345" t="e">
        <f t="shared" si="106"/>
        <v>#DIV/0!</v>
      </c>
      <c r="AC152" s="341">
        <f t="shared" si="115"/>
        <v>0</v>
      </c>
      <c r="AD152" s="341">
        <f t="shared" si="115"/>
        <v>0</v>
      </c>
      <c r="AE152" s="342" t="e">
        <f t="shared" si="86"/>
        <v>#DIV/0!</v>
      </c>
      <c r="AF152" s="337"/>
      <c r="AG152" s="338"/>
      <c r="AH152" s="351" t="e">
        <f t="shared" si="107"/>
        <v>#DIV/0!</v>
      </c>
      <c r="AI152" s="337"/>
      <c r="AJ152" s="338"/>
      <c r="AK152" s="338" t="e">
        <f t="shared" si="108"/>
        <v>#DIV/0!</v>
      </c>
      <c r="AL152" s="253"/>
      <c r="AM152" s="253"/>
      <c r="AN152" s="337" t="e">
        <f t="shared" si="109"/>
        <v>#DIV/0!</v>
      </c>
      <c r="AO152" s="343">
        <f t="shared" si="116"/>
        <v>0</v>
      </c>
      <c r="AP152" s="343">
        <f t="shared" si="116"/>
        <v>0</v>
      </c>
      <c r="AQ152" s="342" t="e">
        <f t="shared" si="95"/>
        <v>#DIV/0!</v>
      </c>
      <c r="AR152" s="337"/>
      <c r="AS152" s="337"/>
      <c r="AT152" s="337" t="e">
        <f t="shared" si="110"/>
        <v>#DIV/0!</v>
      </c>
      <c r="AU152" s="337"/>
      <c r="AV152" s="337"/>
      <c r="AW152" s="337" t="e">
        <f t="shared" si="111"/>
        <v>#DIV/0!</v>
      </c>
      <c r="AX152" s="337"/>
      <c r="AY152" s="338"/>
      <c r="AZ152" s="338" t="e">
        <f t="shared" si="112"/>
        <v>#DIV/0!</v>
      </c>
      <c r="BA152" s="341">
        <f t="shared" si="117"/>
        <v>0</v>
      </c>
      <c r="BB152" s="341">
        <f t="shared" si="117"/>
        <v>0</v>
      </c>
      <c r="BC152" s="342" t="e">
        <f t="shared" si="96"/>
        <v>#DIV/0!</v>
      </c>
      <c r="BD152" s="344">
        <f t="shared" si="118"/>
        <v>1624.07</v>
      </c>
      <c r="BE152" s="345">
        <f t="shared" si="113"/>
        <v>0.10827133333333333</v>
      </c>
      <c r="BF152" s="346">
        <f t="shared" si="119"/>
        <v>13375.93</v>
      </c>
    </row>
    <row r="153" spans="1:58" ht="13.5" thickBot="1">
      <c r="A153" s="272">
        <v>2</v>
      </c>
      <c r="B153" s="273">
        <v>3</v>
      </c>
      <c r="C153" s="273">
        <v>9</v>
      </c>
      <c r="D153" s="273">
        <v>9</v>
      </c>
      <c r="E153" s="400"/>
      <c r="F153" s="130" t="s">
        <v>204</v>
      </c>
      <c r="G153" s="274">
        <v>10000</v>
      </c>
      <c r="H153" s="274"/>
      <c r="I153" s="283"/>
      <c r="J153" s="276" t="e">
        <f t="shared" si="101"/>
        <v>#DIV/0!</v>
      </c>
      <c r="K153" s="353"/>
      <c r="L153" s="274"/>
      <c r="M153" s="279" t="e">
        <f t="shared" si="102"/>
        <v>#DIV/0!</v>
      </c>
      <c r="N153" s="274"/>
      <c r="O153" s="274">
        <v>205.02</v>
      </c>
      <c r="P153" s="279" t="e">
        <f t="shared" si="103"/>
        <v>#DIV/0!</v>
      </c>
      <c r="Q153" s="330">
        <f t="shared" si="114"/>
        <v>0</v>
      </c>
      <c r="R153" s="330">
        <f t="shared" si="114"/>
        <v>205.02</v>
      </c>
      <c r="S153" s="281" t="e">
        <f t="shared" si="120"/>
        <v>#DIV/0!</v>
      </c>
      <c r="T153" s="274"/>
      <c r="U153" s="283"/>
      <c r="V153" s="279" t="e">
        <f t="shared" si="104"/>
        <v>#DIV/0!</v>
      </c>
      <c r="W153" s="274"/>
      <c r="X153" s="283"/>
      <c r="Y153" s="279" t="e">
        <f t="shared" si="105"/>
        <v>#DIV/0!</v>
      </c>
      <c r="Z153" s="274"/>
      <c r="AA153" s="283"/>
      <c r="AB153" s="279" t="e">
        <f t="shared" si="106"/>
        <v>#DIV/0!</v>
      </c>
      <c r="AC153" s="330">
        <f t="shared" si="115"/>
        <v>0</v>
      </c>
      <c r="AD153" s="330">
        <f t="shared" si="115"/>
        <v>0</v>
      </c>
      <c r="AE153" s="281" t="e">
        <f t="shared" si="86"/>
        <v>#DIV/0!</v>
      </c>
      <c r="AF153" s="274"/>
      <c r="AG153" s="283"/>
      <c r="AH153" s="282" t="e">
        <f t="shared" si="107"/>
        <v>#DIV/0!</v>
      </c>
      <c r="AI153" s="274"/>
      <c r="AJ153" s="283"/>
      <c r="AK153" s="283" t="e">
        <f t="shared" si="108"/>
        <v>#DIV/0!</v>
      </c>
      <c r="AL153" s="130"/>
      <c r="AM153" s="130"/>
      <c r="AN153" s="274" t="e">
        <f t="shared" si="109"/>
        <v>#DIV/0!</v>
      </c>
      <c r="AO153" s="278">
        <f t="shared" si="116"/>
        <v>0</v>
      </c>
      <c r="AP153" s="278">
        <f t="shared" si="116"/>
        <v>0</v>
      </c>
      <c r="AQ153" s="281" t="e">
        <f t="shared" si="95"/>
        <v>#DIV/0!</v>
      </c>
      <c r="AR153" s="274"/>
      <c r="AS153" s="274"/>
      <c r="AT153" s="274" t="e">
        <f t="shared" si="110"/>
        <v>#DIV/0!</v>
      </c>
      <c r="AU153" s="274"/>
      <c r="AV153" s="274"/>
      <c r="AW153" s="274" t="e">
        <f t="shared" si="111"/>
        <v>#DIV/0!</v>
      </c>
      <c r="AX153" s="274"/>
      <c r="AY153" s="283"/>
      <c r="AZ153" s="283" t="e">
        <f t="shared" si="112"/>
        <v>#DIV/0!</v>
      </c>
      <c r="BA153" s="330">
        <f t="shared" si="117"/>
        <v>0</v>
      </c>
      <c r="BB153" s="330">
        <f t="shared" si="117"/>
        <v>0</v>
      </c>
      <c r="BC153" s="281" t="e">
        <f t="shared" si="96"/>
        <v>#DIV/0!</v>
      </c>
      <c r="BD153" s="275">
        <f t="shared" si="118"/>
        <v>205.02</v>
      </c>
      <c r="BE153" s="279">
        <f t="shared" si="113"/>
        <v>0.020502</v>
      </c>
      <c r="BF153" s="354">
        <f t="shared" si="119"/>
        <v>9794.98</v>
      </c>
    </row>
    <row r="154" spans="1:58" ht="13.5" thickBot="1">
      <c r="A154" s="263">
        <v>2</v>
      </c>
      <c r="B154" s="264">
        <v>4</v>
      </c>
      <c r="C154" s="264"/>
      <c r="D154" s="264"/>
      <c r="E154" s="399"/>
      <c r="F154" s="211" t="s">
        <v>63</v>
      </c>
      <c r="G154" s="265">
        <f>G156</f>
        <v>560000</v>
      </c>
      <c r="H154" s="265">
        <f>H156</f>
        <v>0</v>
      </c>
      <c r="I154" s="266">
        <f>I156</f>
        <v>2800310.2</v>
      </c>
      <c r="J154" s="267" t="e">
        <f t="shared" si="101"/>
        <v>#DIV/0!</v>
      </c>
      <c r="K154" s="268">
        <f>K156</f>
        <v>0</v>
      </c>
      <c r="L154" s="265">
        <f>L156</f>
        <v>1371545.48</v>
      </c>
      <c r="M154" s="269" t="e">
        <f t="shared" si="102"/>
        <v>#DIV/0!</v>
      </c>
      <c r="N154" s="265">
        <f>N156</f>
        <v>0</v>
      </c>
      <c r="O154" s="265">
        <f>O156</f>
        <v>1232547</v>
      </c>
      <c r="P154" s="269" t="e">
        <f t="shared" si="103"/>
        <v>#DIV/0!</v>
      </c>
      <c r="Q154" s="265">
        <f>Q156</f>
        <v>0</v>
      </c>
      <c r="R154" s="265">
        <f>R156</f>
        <v>5404402.68</v>
      </c>
      <c r="S154" s="327" t="e">
        <f t="shared" si="120"/>
        <v>#DIV/0!</v>
      </c>
      <c r="T154" s="265">
        <f>T156</f>
        <v>0</v>
      </c>
      <c r="U154" s="266">
        <f>U156</f>
        <v>0</v>
      </c>
      <c r="V154" s="269" t="e">
        <f t="shared" si="104"/>
        <v>#DIV/0!</v>
      </c>
      <c r="W154" s="265">
        <f>W156</f>
        <v>0</v>
      </c>
      <c r="X154" s="266">
        <f>X156</f>
        <v>0</v>
      </c>
      <c r="Y154" s="269" t="e">
        <f t="shared" si="105"/>
        <v>#DIV/0!</v>
      </c>
      <c r="Z154" s="265">
        <f>Z156</f>
        <v>0</v>
      </c>
      <c r="AA154" s="266">
        <f>AA156</f>
        <v>0</v>
      </c>
      <c r="AB154" s="269" t="e">
        <f t="shared" si="106"/>
        <v>#DIV/0!</v>
      </c>
      <c r="AC154" s="265">
        <f>AC156</f>
        <v>0</v>
      </c>
      <c r="AD154" s="265">
        <f>AD156</f>
        <v>0</v>
      </c>
      <c r="AE154" s="327" t="e">
        <f t="shared" si="86"/>
        <v>#DIV/0!</v>
      </c>
      <c r="AF154" s="265">
        <f>AF156</f>
        <v>0</v>
      </c>
      <c r="AG154" s="266">
        <f>AG156</f>
        <v>0</v>
      </c>
      <c r="AH154" s="271" t="e">
        <f t="shared" si="107"/>
        <v>#DIV/0!</v>
      </c>
      <c r="AI154" s="265">
        <f>AI156</f>
        <v>0</v>
      </c>
      <c r="AJ154" s="266">
        <f>AJ156</f>
        <v>0</v>
      </c>
      <c r="AK154" s="266" t="e">
        <f t="shared" si="108"/>
        <v>#DIV/0!</v>
      </c>
      <c r="AL154" s="265">
        <f>AL156</f>
        <v>0</v>
      </c>
      <c r="AM154" s="265">
        <f>AM156</f>
        <v>0</v>
      </c>
      <c r="AN154" s="265" t="e">
        <f t="shared" si="109"/>
        <v>#DIV/0!</v>
      </c>
      <c r="AO154" s="265">
        <f>AO156</f>
        <v>0</v>
      </c>
      <c r="AP154" s="265">
        <f>AP156</f>
        <v>0</v>
      </c>
      <c r="AQ154" s="327" t="e">
        <f t="shared" si="95"/>
        <v>#DIV/0!</v>
      </c>
      <c r="AR154" s="265"/>
      <c r="AS154" s="265"/>
      <c r="AT154" s="265" t="e">
        <f t="shared" si="110"/>
        <v>#DIV/0!</v>
      </c>
      <c r="AU154" s="265"/>
      <c r="AV154" s="265"/>
      <c r="AW154" s="265" t="e">
        <f t="shared" si="111"/>
        <v>#DIV/0!</v>
      </c>
      <c r="AX154" s="265">
        <f>AX156</f>
        <v>0</v>
      </c>
      <c r="AY154" s="266">
        <f>AY156</f>
        <v>0</v>
      </c>
      <c r="AZ154" s="266" t="e">
        <f t="shared" si="112"/>
        <v>#DIV/0!</v>
      </c>
      <c r="BA154" s="265">
        <f>BA156</f>
        <v>0</v>
      </c>
      <c r="BB154" s="265">
        <f>BB156</f>
        <v>0</v>
      </c>
      <c r="BC154" s="327" t="e">
        <f t="shared" si="96"/>
        <v>#DIV/0!</v>
      </c>
      <c r="BD154" s="266">
        <f>BD156</f>
        <v>5404402.68</v>
      </c>
      <c r="BE154" s="269">
        <f t="shared" si="113"/>
        <v>9.65071907142857</v>
      </c>
      <c r="BF154" s="379">
        <f t="shared" si="119"/>
        <v>-4844402.68</v>
      </c>
    </row>
    <row r="155" spans="1:58" ht="13.5" thickBot="1">
      <c r="A155" s="272"/>
      <c r="B155" s="273"/>
      <c r="C155" s="329"/>
      <c r="D155" s="329"/>
      <c r="E155" s="406"/>
      <c r="F155" s="130"/>
      <c r="G155" s="274"/>
      <c r="H155" s="274"/>
      <c r="I155" s="275"/>
      <c r="J155" s="276"/>
      <c r="K155" s="277"/>
      <c r="L155" s="278"/>
      <c r="M155" s="279"/>
      <c r="N155" s="278"/>
      <c r="O155" s="278"/>
      <c r="P155" s="279"/>
      <c r="Q155" s="330"/>
      <c r="R155" s="330"/>
      <c r="S155" s="281"/>
      <c r="T155" s="274"/>
      <c r="U155" s="275"/>
      <c r="V155" s="279"/>
      <c r="W155" s="274"/>
      <c r="X155" s="275"/>
      <c r="Y155" s="279"/>
      <c r="Z155" s="274"/>
      <c r="AA155" s="275"/>
      <c r="AB155" s="279"/>
      <c r="AC155" s="330"/>
      <c r="AD155" s="330"/>
      <c r="AE155" s="281"/>
      <c r="AF155" s="274"/>
      <c r="AG155" s="275"/>
      <c r="AH155" s="282"/>
      <c r="AI155" s="274"/>
      <c r="AJ155" s="275"/>
      <c r="AK155" s="283"/>
      <c r="AL155" s="169"/>
      <c r="AM155" s="169"/>
      <c r="AN155" s="274"/>
      <c r="AO155" s="278"/>
      <c r="AP155" s="278"/>
      <c r="AQ155" s="281"/>
      <c r="AR155" s="278"/>
      <c r="AS155" s="278"/>
      <c r="AT155" s="274"/>
      <c r="AU155" s="278"/>
      <c r="AV155" s="278"/>
      <c r="AW155" s="274"/>
      <c r="AX155" s="278"/>
      <c r="AY155" s="275"/>
      <c r="AZ155" s="283"/>
      <c r="BA155" s="330"/>
      <c r="BB155" s="330"/>
      <c r="BC155" s="281"/>
      <c r="BD155" s="283"/>
      <c r="BE155" s="279"/>
      <c r="BF155" s="285"/>
    </row>
    <row r="156" spans="1:58" ht="22.5" thickBot="1">
      <c r="A156" s="286">
        <v>2</v>
      </c>
      <c r="B156" s="231">
        <v>4</v>
      </c>
      <c r="C156" s="231">
        <v>1</v>
      </c>
      <c r="D156" s="299"/>
      <c r="E156" s="403"/>
      <c r="F156" s="155" t="s">
        <v>64</v>
      </c>
      <c r="G156" s="287">
        <f>G157+G160+G163+G164</f>
        <v>560000</v>
      </c>
      <c r="H156" s="287">
        <f>H157+H160+H163+H164</f>
        <v>0</v>
      </c>
      <c r="I156" s="288">
        <f>I157+I160+I163+I164</f>
        <v>2800310.2</v>
      </c>
      <c r="J156" s="289" t="e">
        <f t="shared" si="101"/>
        <v>#DIV/0!</v>
      </c>
      <c r="K156" s="290">
        <f>K157+K160+K163+K164</f>
        <v>0</v>
      </c>
      <c r="L156" s="287">
        <f>L157+L160+L163+L164</f>
        <v>1371545.48</v>
      </c>
      <c r="M156" s="291" t="e">
        <f t="shared" si="102"/>
        <v>#DIV/0!</v>
      </c>
      <c r="N156" s="287">
        <f>N157+N160+N163+N164</f>
        <v>0</v>
      </c>
      <c r="O156" s="287">
        <f>O157+O160+O163+O164</f>
        <v>1232547</v>
      </c>
      <c r="P156" s="291" t="e">
        <f t="shared" si="103"/>
        <v>#DIV/0!</v>
      </c>
      <c r="Q156" s="287">
        <f>Q157+Q160+Q163+Q164</f>
        <v>0</v>
      </c>
      <c r="R156" s="287">
        <f>R157+R160+R163+R164</f>
        <v>5404402.68</v>
      </c>
      <c r="S156" s="292" t="e">
        <f t="shared" si="120"/>
        <v>#DIV/0!</v>
      </c>
      <c r="T156" s="287">
        <f>T157+T160+T163+T164</f>
        <v>0</v>
      </c>
      <c r="U156" s="288">
        <f>U157+U160+U163+U164</f>
        <v>0</v>
      </c>
      <c r="V156" s="291" t="e">
        <f t="shared" si="104"/>
        <v>#DIV/0!</v>
      </c>
      <c r="W156" s="287">
        <f>W157+W160+W163+W164</f>
        <v>0</v>
      </c>
      <c r="X156" s="288">
        <f>X157+X160+X163+X164</f>
        <v>0</v>
      </c>
      <c r="Y156" s="291" t="e">
        <f t="shared" si="105"/>
        <v>#DIV/0!</v>
      </c>
      <c r="Z156" s="287">
        <f>Z157+Z160+Z163+Z164</f>
        <v>0</v>
      </c>
      <c r="AA156" s="288">
        <f>AA157+AA160+AA163+AA164</f>
        <v>0</v>
      </c>
      <c r="AB156" s="291" t="e">
        <f t="shared" si="106"/>
        <v>#DIV/0!</v>
      </c>
      <c r="AC156" s="287">
        <f>AC157+AC160+AC163+AC164</f>
        <v>0</v>
      </c>
      <c r="AD156" s="287">
        <f>AD157+AD160+AD163+AD164</f>
        <v>0</v>
      </c>
      <c r="AE156" s="292" t="e">
        <f t="shared" si="86"/>
        <v>#DIV/0!</v>
      </c>
      <c r="AF156" s="287">
        <f>AF157+AF160+AF163+AF164</f>
        <v>0</v>
      </c>
      <c r="AG156" s="288">
        <f>AG157+AG160+AG163+AG164</f>
        <v>0</v>
      </c>
      <c r="AH156" s="293" t="e">
        <f t="shared" si="107"/>
        <v>#DIV/0!</v>
      </c>
      <c r="AI156" s="287">
        <f>AI157+AI160+AI163+AI164</f>
        <v>0</v>
      </c>
      <c r="AJ156" s="288">
        <f>AJ157+AJ160+AJ163+AJ164</f>
        <v>0</v>
      </c>
      <c r="AK156" s="294" t="e">
        <f t="shared" si="108"/>
        <v>#DIV/0!</v>
      </c>
      <c r="AL156" s="287">
        <f>AL157+AL160+AL163+AL164</f>
        <v>0</v>
      </c>
      <c r="AM156" s="287">
        <f>AM157+AM160+AM163+AM164</f>
        <v>0</v>
      </c>
      <c r="AN156" s="295" t="e">
        <f t="shared" si="109"/>
        <v>#DIV/0!</v>
      </c>
      <c r="AO156" s="287">
        <f>AO157+AO160+AO163+AO164</f>
        <v>0</v>
      </c>
      <c r="AP156" s="287">
        <f>AP157+AP160+AP163+AP164</f>
        <v>0</v>
      </c>
      <c r="AQ156" s="292" t="e">
        <f t="shared" si="95"/>
        <v>#DIV/0!</v>
      </c>
      <c r="AR156" s="287"/>
      <c r="AS156" s="287"/>
      <c r="AT156" s="295" t="e">
        <f t="shared" si="110"/>
        <v>#DIV/0!</v>
      </c>
      <c r="AU156" s="287"/>
      <c r="AV156" s="287"/>
      <c r="AW156" s="295" t="e">
        <f t="shared" si="111"/>
        <v>#DIV/0!</v>
      </c>
      <c r="AX156" s="287">
        <f>AX157+AX160+AX163+AX164</f>
        <v>0</v>
      </c>
      <c r="AY156" s="288">
        <f>AY157+AY160+AY163+AY164</f>
        <v>0</v>
      </c>
      <c r="AZ156" s="294" t="e">
        <f t="shared" si="112"/>
        <v>#DIV/0!</v>
      </c>
      <c r="BA156" s="287">
        <f>BA157+BA160+BA163+BA164</f>
        <v>0</v>
      </c>
      <c r="BB156" s="287">
        <f>BB157+BB160+BB163+BB164</f>
        <v>0</v>
      </c>
      <c r="BC156" s="292" t="e">
        <f t="shared" si="96"/>
        <v>#DIV/0!</v>
      </c>
      <c r="BD156" s="288">
        <f>BD157+BD160+BD163+BD164</f>
        <v>5404402.68</v>
      </c>
      <c r="BE156" s="296">
        <f t="shared" si="113"/>
        <v>9.65071907142857</v>
      </c>
      <c r="BF156" s="312">
        <f t="shared" si="119"/>
        <v>-4844402.68</v>
      </c>
    </row>
    <row r="157" spans="1:58" ht="13.5" thickBot="1">
      <c r="A157" s="286">
        <v>2</v>
      </c>
      <c r="B157" s="231">
        <v>4</v>
      </c>
      <c r="C157" s="231">
        <v>1</v>
      </c>
      <c r="D157" s="231">
        <v>2</v>
      </c>
      <c r="E157" s="401"/>
      <c r="F157" s="155" t="s">
        <v>49</v>
      </c>
      <c r="G157" s="287">
        <f>G158+G159</f>
        <v>50000</v>
      </c>
      <c r="H157" s="287">
        <f>H158+H159</f>
        <v>0</v>
      </c>
      <c r="I157" s="288">
        <f>I158+I159</f>
        <v>0</v>
      </c>
      <c r="J157" s="289" t="e">
        <f t="shared" si="101"/>
        <v>#DIV/0!</v>
      </c>
      <c r="K157" s="290">
        <f>K158+K159</f>
        <v>0</v>
      </c>
      <c r="L157" s="287">
        <f>L158+L159</f>
        <v>0</v>
      </c>
      <c r="M157" s="291" t="e">
        <f t="shared" si="102"/>
        <v>#DIV/0!</v>
      </c>
      <c r="N157" s="287">
        <f>N158+N159</f>
        <v>0</v>
      </c>
      <c r="O157" s="287">
        <f>O158+O159</f>
        <v>0</v>
      </c>
      <c r="P157" s="291" t="e">
        <f t="shared" si="103"/>
        <v>#DIV/0!</v>
      </c>
      <c r="Q157" s="287">
        <f>Q158+Q159</f>
        <v>0</v>
      </c>
      <c r="R157" s="287">
        <f>R158+R159</f>
        <v>0</v>
      </c>
      <c r="S157" s="292" t="e">
        <f t="shared" si="120"/>
        <v>#DIV/0!</v>
      </c>
      <c r="T157" s="287">
        <f>T158+T159</f>
        <v>0</v>
      </c>
      <c r="U157" s="288">
        <f>U158+U159</f>
        <v>0</v>
      </c>
      <c r="V157" s="291" t="e">
        <f t="shared" si="104"/>
        <v>#DIV/0!</v>
      </c>
      <c r="W157" s="287">
        <f>W158+W159</f>
        <v>0</v>
      </c>
      <c r="X157" s="288">
        <f>X158+X159</f>
        <v>0</v>
      </c>
      <c r="Y157" s="291" t="e">
        <f t="shared" si="105"/>
        <v>#DIV/0!</v>
      </c>
      <c r="Z157" s="287">
        <f>Z158+Z159</f>
        <v>0</v>
      </c>
      <c r="AA157" s="288">
        <f>AA158+AA159</f>
        <v>0</v>
      </c>
      <c r="AB157" s="291" t="e">
        <f t="shared" si="106"/>
        <v>#DIV/0!</v>
      </c>
      <c r="AC157" s="287">
        <f>AC158+AC159</f>
        <v>0</v>
      </c>
      <c r="AD157" s="287">
        <f>AD158+AD159</f>
        <v>0</v>
      </c>
      <c r="AE157" s="292" t="e">
        <f t="shared" si="86"/>
        <v>#DIV/0!</v>
      </c>
      <c r="AF157" s="287">
        <f>AF158+AF159</f>
        <v>0</v>
      </c>
      <c r="AG157" s="288">
        <f>AG158+AG159</f>
        <v>0</v>
      </c>
      <c r="AH157" s="293" t="e">
        <f t="shared" si="107"/>
        <v>#DIV/0!</v>
      </c>
      <c r="AI157" s="287">
        <f>AI158+AI159</f>
        <v>0</v>
      </c>
      <c r="AJ157" s="288">
        <f>AJ158+AJ159</f>
        <v>0</v>
      </c>
      <c r="AK157" s="294" t="e">
        <f t="shared" si="108"/>
        <v>#DIV/0!</v>
      </c>
      <c r="AL157" s="287">
        <f>AL158+AL159</f>
        <v>0</v>
      </c>
      <c r="AM157" s="287">
        <f>AM158+AM159</f>
        <v>0</v>
      </c>
      <c r="AN157" s="295" t="e">
        <f t="shared" si="109"/>
        <v>#DIV/0!</v>
      </c>
      <c r="AO157" s="287">
        <f>AO158+AO159</f>
        <v>0</v>
      </c>
      <c r="AP157" s="287">
        <f>AP158+AP159</f>
        <v>0</v>
      </c>
      <c r="AQ157" s="292" t="e">
        <f t="shared" si="95"/>
        <v>#DIV/0!</v>
      </c>
      <c r="AR157" s="287"/>
      <c r="AS157" s="287"/>
      <c r="AT157" s="295" t="e">
        <f t="shared" si="110"/>
        <v>#DIV/0!</v>
      </c>
      <c r="AU157" s="287"/>
      <c r="AV157" s="287"/>
      <c r="AW157" s="295" t="e">
        <f t="shared" si="111"/>
        <v>#DIV/0!</v>
      </c>
      <c r="AX157" s="287">
        <f>AX158+AX159</f>
        <v>0</v>
      </c>
      <c r="AY157" s="288">
        <f>AY158+AY159</f>
        <v>0</v>
      </c>
      <c r="AZ157" s="294" t="e">
        <f t="shared" si="112"/>
        <v>#DIV/0!</v>
      </c>
      <c r="BA157" s="287">
        <f>BA158+BA159</f>
        <v>0</v>
      </c>
      <c r="BB157" s="287">
        <f>BB158+BB159</f>
        <v>0</v>
      </c>
      <c r="BC157" s="292" t="e">
        <f t="shared" si="96"/>
        <v>#DIV/0!</v>
      </c>
      <c r="BD157" s="288">
        <f>BD158+BD159</f>
        <v>0</v>
      </c>
      <c r="BE157" s="296">
        <f t="shared" si="113"/>
        <v>0</v>
      </c>
      <c r="BF157" s="308">
        <f t="shared" si="119"/>
        <v>50000</v>
      </c>
    </row>
    <row r="158" spans="1:58" ht="13.5" thickBot="1">
      <c r="A158" s="298">
        <v>2</v>
      </c>
      <c r="B158" s="299">
        <v>4</v>
      </c>
      <c r="C158" s="299">
        <v>1</v>
      </c>
      <c r="D158" s="299">
        <v>2</v>
      </c>
      <c r="E158" s="402" t="s">
        <v>149</v>
      </c>
      <c r="F158" s="90" t="s">
        <v>50</v>
      </c>
      <c r="G158" s="300">
        <v>25000</v>
      </c>
      <c r="H158" s="300"/>
      <c r="I158" s="304"/>
      <c r="J158" s="289" t="e">
        <f t="shared" si="101"/>
        <v>#DIV/0!</v>
      </c>
      <c r="K158" s="302"/>
      <c r="L158" s="300"/>
      <c r="M158" s="291" t="e">
        <f t="shared" si="102"/>
        <v>#DIV/0!</v>
      </c>
      <c r="N158" s="300"/>
      <c r="O158" s="300"/>
      <c r="P158" s="291" t="e">
        <f t="shared" si="103"/>
        <v>#DIV/0!</v>
      </c>
      <c r="Q158" s="280">
        <f>N158+K158+H158</f>
        <v>0</v>
      </c>
      <c r="R158" s="280">
        <f>O158+L158+I158</f>
        <v>0</v>
      </c>
      <c r="S158" s="292" t="e">
        <f t="shared" si="120"/>
        <v>#DIV/0!</v>
      </c>
      <c r="T158" s="300"/>
      <c r="U158" s="304"/>
      <c r="V158" s="291" t="e">
        <f t="shared" si="104"/>
        <v>#DIV/0!</v>
      </c>
      <c r="W158" s="300"/>
      <c r="X158" s="304"/>
      <c r="Y158" s="291" t="e">
        <f t="shared" si="105"/>
        <v>#DIV/0!</v>
      </c>
      <c r="Z158" s="300"/>
      <c r="AA158" s="304"/>
      <c r="AB158" s="291" t="e">
        <f t="shared" si="106"/>
        <v>#DIV/0!</v>
      </c>
      <c r="AC158" s="280">
        <f>Z158+W158+T158</f>
        <v>0</v>
      </c>
      <c r="AD158" s="280">
        <f>AA158+X158+U158</f>
        <v>0</v>
      </c>
      <c r="AE158" s="292" t="e">
        <f t="shared" si="86"/>
        <v>#DIV/0!</v>
      </c>
      <c r="AF158" s="300"/>
      <c r="AG158" s="304"/>
      <c r="AH158" s="293" t="e">
        <f t="shared" si="107"/>
        <v>#DIV/0!</v>
      </c>
      <c r="AI158" s="300"/>
      <c r="AJ158" s="304"/>
      <c r="AK158" s="294" t="e">
        <f t="shared" si="108"/>
        <v>#DIV/0!</v>
      </c>
      <c r="AL158" s="90"/>
      <c r="AM158" s="90"/>
      <c r="AN158" s="295" t="e">
        <f t="shared" si="109"/>
        <v>#DIV/0!</v>
      </c>
      <c r="AO158" s="300">
        <f>AL158+AI158+AF158</f>
        <v>0</v>
      </c>
      <c r="AP158" s="300">
        <f>AM158+AJ158+AG158</f>
        <v>0</v>
      </c>
      <c r="AQ158" s="292" t="e">
        <f t="shared" si="95"/>
        <v>#DIV/0!</v>
      </c>
      <c r="AR158" s="300"/>
      <c r="AS158" s="300"/>
      <c r="AT158" s="295" t="e">
        <f t="shared" si="110"/>
        <v>#DIV/0!</v>
      </c>
      <c r="AU158" s="300"/>
      <c r="AV158" s="300"/>
      <c r="AW158" s="295" t="e">
        <f t="shared" si="111"/>
        <v>#DIV/0!</v>
      </c>
      <c r="AX158" s="300"/>
      <c r="AY158" s="304"/>
      <c r="AZ158" s="294" t="e">
        <f t="shared" si="112"/>
        <v>#DIV/0!</v>
      </c>
      <c r="BA158" s="280">
        <f>AX158+AU158+AR158</f>
        <v>0</v>
      </c>
      <c r="BB158" s="280">
        <f>AY158+AV158+AS158</f>
        <v>0</v>
      </c>
      <c r="BC158" s="292" t="e">
        <f t="shared" si="96"/>
        <v>#DIV/0!</v>
      </c>
      <c r="BD158" s="304">
        <f>I158+L158+O158+U158+X158+AA158+AG158+AJ158+AM158+AS158+AV158+AY158</f>
        <v>0</v>
      </c>
      <c r="BE158" s="296">
        <f t="shared" si="113"/>
        <v>0</v>
      </c>
      <c r="BF158" s="308">
        <f t="shared" si="119"/>
        <v>25000</v>
      </c>
    </row>
    <row r="159" spans="1:58" ht="19.5" thickBot="1">
      <c r="A159" s="298">
        <v>2</v>
      </c>
      <c r="B159" s="299">
        <v>4</v>
      </c>
      <c r="C159" s="299">
        <v>1</v>
      </c>
      <c r="D159" s="299">
        <v>2</v>
      </c>
      <c r="E159" s="402" t="s">
        <v>150</v>
      </c>
      <c r="F159" s="90" t="s">
        <v>103</v>
      </c>
      <c r="G159" s="300">
        <v>25000</v>
      </c>
      <c r="H159" s="300"/>
      <c r="I159" s="304"/>
      <c r="J159" s="289" t="e">
        <f t="shared" si="101"/>
        <v>#DIV/0!</v>
      </c>
      <c r="K159" s="302"/>
      <c r="L159" s="300"/>
      <c r="M159" s="291" t="e">
        <f t="shared" si="102"/>
        <v>#DIV/0!</v>
      </c>
      <c r="N159" s="300"/>
      <c r="O159" s="300"/>
      <c r="P159" s="291" t="e">
        <f t="shared" si="103"/>
        <v>#DIV/0!</v>
      </c>
      <c r="Q159" s="280">
        <f>N159+K159+H159</f>
        <v>0</v>
      </c>
      <c r="R159" s="280">
        <f>O159+L159+I159</f>
        <v>0</v>
      </c>
      <c r="S159" s="292" t="e">
        <f t="shared" si="120"/>
        <v>#DIV/0!</v>
      </c>
      <c r="T159" s="300"/>
      <c r="U159" s="304"/>
      <c r="V159" s="291" t="e">
        <f t="shared" si="104"/>
        <v>#DIV/0!</v>
      </c>
      <c r="W159" s="300"/>
      <c r="X159" s="304"/>
      <c r="Y159" s="291" t="e">
        <f t="shared" si="105"/>
        <v>#DIV/0!</v>
      </c>
      <c r="Z159" s="300"/>
      <c r="AA159" s="304"/>
      <c r="AB159" s="291" t="e">
        <f t="shared" si="106"/>
        <v>#DIV/0!</v>
      </c>
      <c r="AC159" s="280">
        <f>Z159+W159+T159</f>
        <v>0</v>
      </c>
      <c r="AD159" s="280">
        <f>AA159+X159+U159</f>
        <v>0</v>
      </c>
      <c r="AE159" s="292" t="e">
        <f t="shared" si="86"/>
        <v>#DIV/0!</v>
      </c>
      <c r="AF159" s="300"/>
      <c r="AG159" s="304"/>
      <c r="AH159" s="293" t="e">
        <f t="shared" si="107"/>
        <v>#DIV/0!</v>
      </c>
      <c r="AI159" s="300"/>
      <c r="AJ159" s="304"/>
      <c r="AK159" s="294" t="e">
        <f t="shared" si="108"/>
        <v>#DIV/0!</v>
      </c>
      <c r="AL159" s="90"/>
      <c r="AM159" s="90"/>
      <c r="AN159" s="295" t="e">
        <f t="shared" si="109"/>
        <v>#DIV/0!</v>
      </c>
      <c r="AO159" s="300">
        <f>AL159+AI159+AF159</f>
        <v>0</v>
      </c>
      <c r="AP159" s="300">
        <f>AM159+AJ159+AG159</f>
        <v>0</v>
      </c>
      <c r="AQ159" s="292" t="e">
        <f t="shared" si="95"/>
        <v>#DIV/0!</v>
      </c>
      <c r="AR159" s="300"/>
      <c r="AS159" s="300"/>
      <c r="AT159" s="295" t="e">
        <f t="shared" si="110"/>
        <v>#DIV/0!</v>
      </c>
      <c r="AU159" s="300"/>
      <c r="AV159" s="300"/>
      <c r="AW159" s="295" t="e">
        <f t="shared" si="111"/>
        <v>#DIV/0!</v>
      </c>
      <c r="AX159" s="300"/>
      <c r="AY159" s="304"/>
      <c r="AZ159" s="294" t="e">
        <f t="shared" si="112"/>
        <v>#DIV/0!</v>
      </c>
      <c r="BA159" s="280">
        <f>AX159+AU159+AR159</f>
        <v>0</v>
      </c>
      <c r="BB159" s="280">
        <f>AY159+AV159+AS159</f>
        <v>0</v>
      </c>
      <c r="BC159" s="292" t="e">
        <f t="shared" si="96"/>
        <v>#DIV/0!</v>
      </c>
      <c r="BD159" s="304">
        <f>I159+L159+O159+U159+X159+AA159+AG159+AJ159+AM159+AS159+AV159+AY159</f>
        <v>0</v>
      </c>
      <c r="BE159" s="296">
        <f t="shared" si="113"/>
        <v>0</v>
      </c>
      <c r="BF159" s="308">
        <f t="shared" si="119"/>
        <v>25000</v>
      </c>
    </row>
    <row r="160" spans="1:58" ht="13.5" thickBot="1">
      <c r="A160" s="286">
        <v>2</v>
      </c>
      <c r="B160" s="231">
        <v>4</v>
      </c>
      <c r="C160" s="231">
        <v>1</v>
      </c>
      <c r="D160" s="231">
        <v>4</v>
      </c>
      <c r="E160" s="401"/>
      <c r="F160" s="155" t="s">
        <v>51</v>
      </c>
      <c r="G160" s="287">
        <f>G161+G162</f>
        <v>425000</v>
      </c>
      <c r="H160" s="287">
        <f>H161+H162</f>
        <v>0</v>
      </c>
      <c r="I160" s="288">
        <f>I161+I162</f>
        <v>2800310.2</v>
      </c>
      <c r="J160" s="289" t="e">
        <f t="shared" si="101"/>
        <v>#DIV/0!</v>
      </c>
      <c r="K160" s="290">
        <f>K161+K162</f>
        <v>0</v>
      </c>
      <c r="L160" s="287">
        <f>L161+L162</f>
        <v>1371545.48</v>
      </c>
      <c r="M160" s="291" t="e">
        <f t="shared" si="102"/>
        <v>#DIV/0!</v>
      </c>
      <c r="N160" s="287">
        <f>N161+N162</f>
        <v>0</v>
      </c>
      <c r="O160" s="287">
        <f>O161+O162</f>
        <v>1232547</v>
      </c>
      <c r="P160" s="291" t="e">
        <f t="shared" si="103"/>
        <v>#DIV/0!</v>
      </c>
      <c r="Q160" s="287">
        <f>Q161+Q162</f>
        <v>0</v>
      </c>
      <c r="R160" s="287">
        <f>R161+R162</f>
        <v>5404402.68</v>
      </c>
      <c r="S160" s="292" t="e">
        <f t="shared" si="120"/>
        <v>#DIV/0!</v>
      </c>
      <c r="T160" s="287">
        <f>T161+T162</f>
        <v>0</v>
      </c>
      <c r="U160" s="288">
        <f>U161+U162</f>
        <v>0</v>
      </c>
      <c r="V160" s="291" t="e">
        <f t="shared" si="104"/>
        <v>#DIV/0!</v>
      </c>
      <c r="W160" s="287">
        <f>W161+W162</f>
        <v>0</v>
      </c>
      <c r="X160" s="288">
        <f>X161+X162</f>
        <v>0</v>
      </c>
      <c r="Y160" s="291" t="e">
        <f t="shared" si="105"/>
        <v>#DIV/0!</v>
      </c>
      <c r="Z160" s="287">
        <f>Z161+Z162</f>
        <v>0</v>
      </c>
      <c r="AA160" s="288">
        <f>AA161+AA162</f>
        <v>0</v>
      </c>
      <c r="AB160" s="291" t="e">
        <f t="shared" si="106"/>
        <v>#DIV/0!</v>
      </c>
      <c r="AC160" s="287">
        <f>AC161+AC162</f>
        <v>0</v>
      </c>
      <c r="AD160" s="287">
        <f>AD161+AD162</f>
        <v>0</v>
      </c>
      <c r="AE160" s="292" t="e">
        <f t="shared" si="86"/>
        <v>#DIV/0!</v>
      </c>
      <c r="AF160" s="287">
        <f>AF161+AF162</f>
        <v>0</v>
      </c>
      <c r="AG160" s="288">
        <f>AG161+AG162</f>
        <v>0</v>
      </c>
      <c r="AH160" s="293" t="e">
        <f t="shared" si="107"/>
        <v>#DIV/0!</v>
      </c>
      <c r="AI160" s="287">
        <f>AI161+AI162</f>
        <v>0</v>
      </c>
      <c r="AJ160" s="288">
        <f>AJ161+AJ162</f>
        <v>0</v>
      </c>
      <c r="AK160" s="294" t="e">
        <f t="shared" si="108"/>
        <v>#DIV/0!</v>
      </c>
      <c r="AL160" s="287">
        <f>AL161+AL162</f>
        <v>0</v>
      </c>
      <c r="AM160" s="287">
        <f>AM161+AM162</f>
        <v>0</v>
      </c>
      <c r="AN160" s="295" t="e">
        <f t="shared" si="109"/>
        <v>#DIV/0!</v>
      </c>
      <c r="AO160" s="287">
        <f>AO161+AO162</f>
        <v>0</v>
      </c>
      <c r="AP160" s="287">
        <f>AP161+AP162</f>
        <v>0</v>
      </c>
      <c r="AQ160" s="292" t="e">
        <f t="shared" si="95"/>
        <v>#DIV/0!</v>
      </c>
      <c r="AR160" s="287"/>
      <c r="AS160" s="287"/>
      <c r="AT160" s="295" t="e">
        <f t="shared" si="110"/>
        <v>#DIV/0!</v>
      </c>
      <c r="AU160" s="287"/>
      <c r="AV160" s="287"/>
      <c r="AW160" s="295" t="e">
        <f t="shared" si="111"/>
        <v>#DIV/0!</v>
      </c>
      <c r="AX160" s="287">
        <f>AX161+AX162</f>
        <v>0</v>
      </c>
      <c r="AY160" s="288">
        <f>AY161+AY162</f>
        <v>0</v>
      </c>
      <c r="AZ160" s="294" t="e">
        <f t="shared" si="112"/>
        <v>#DIV/0!</v>
      </c>
      <c r="BA160" s="287">
        <f>BA161+BA162</f>
        <v>0</v>
      </c>
      <c r="BB160" s="287">
        <f>BB161+BB162</f>
        <v>0</v>
      </c>
      <c r="BC160" s="292" t="e">
        <f t="shared" si="96"/>
        <v>#DIV/0!</v>
      </c>
      <c r="BD160" s="288">
        <f>BD161+BD162</f>
        <v>5404402.68</v>
      </c>
      <c r="BE160" s="296">
        <f t="shared" si="113"/>
        <v>12.7162416</v>
      </c>
      <c r="BF160" s="312">
        <f t="shared" si="119"/>
        <v>-4979402.68</v>
      </c>
    </row>
    <row r="161" spans="1:58" ht="13.5" thickBot="1">
      <c r="A161" s="298">
        <v>2</v>
      </c>
      <c r="B161" s="299">
        <v>4</v>
      </c>
      <c r="C161" s="299">
        <v>1</v>
      </c>
      <c r="D161" s="299">
        <v>4</v>
      </c>
      <c r="E161" s="402" t="s">
        <v>149</v>
      </c>
      <c r="F161" s="90" t="s">
        <v>52</v>
      </c>
      <c r="G161" s="300">
        <v>125000</v>
      </c>
      <c r="H161" s="300"/>
      <c r="I161" s="304"/>
      <c r="J161" s="289" t="e">
        <f t="shared" si="101"/>
        <v>#DIV/0!</v>
      </c>
      <c r="K161" s="302"/>
      <c r="L161" s="300"/>
      <c r="M161" s="291" t="e">
        <f t="shared" si="102"/>
        <v>#DIV/0!</v>
      </c>
      <c r="N161" s="300"/>
      <c r="O161" s="300"/>
      <c r="P161" s="291" t="e">
        <f t="shared" si="103"/>
        <v>#DIV/0!</v>
      </c>
      <c r="Q161" s="280">
        <f aca="true" t="shared" si="121" ref="Q161:R163">N161+K161+H161</f>
        <v>0</v>
      </c>
      <c r="R161" s="280">
        <f t="shared" si="121"/>
        <v>0</v>
      </c>
      <c r="S161" s="292" t="e">
        <f t="shared" si="120"/>
        <v>#DIV/0!</v>
      </c>
      <c r="T161" s="300"/>
      <c r="U161" s="304"/>
      <c r="V161" s="291" t="e">
        <f t="shared" si="104"/>
        <v>#DIV/0!</v>
      </c>
      <c r="W161" s="300"/>
      <c r="X161" s="304"/>
      <c r="Y161" s="291" t="e">
        <f t="shared" si="105"/>
        <v>#DIV/0!</v>
      </c>
      <c r="Z161" s="300"/>
      <c r="AA161" s="304"/>
      <c r="AB161" s="291" t="e">
        <f t="shared" si="106"/>
        <v>#DIV/0!</v>
      </c>
      <c r="AC161" s="280">
        <f aca="true" t="shared" si="122" ref="AC161:AD163">Z161+W161+T161</f>
        <v>0</v>
      </c>
      <c r="AD161" s="280">
        <f t="shared" si="122"/>
        <v>0</v>
      </c>
      <c r="AE161" s="292" t="e">
        <f t="shared" si="86"/>
        <v>#DIV/0!</v>
      </c>
      <c r="AF161" s="300"/>
      <c r="AG161" s="304"/>
      <c r="AH161" s="293" t="e">
        <f t="shared" si="107"/>
        <v>#DIV/0!</v>
      </c>
      <c r="AI161" s="300"/>
      <c r="AJ161" s="304"/>
      <c r="AK161" s="294" t="e">
        <f t="shared" si="108"/>
        <v>#DIV/0!</v>
      </c>
      <c r="AL161" s="90"/>
      <c r="AM161" s="90"/>
      <c r="AN161" s="295" t="e">
        <f t="shared" si="109"/>
        <v>#DIV/0!</v>
      </c>
      <c r="AO161" s="300">
        <f aca="true" t="shared" si="123" ref="AO161:AP163">AL161+AI161+AF161</f>
        <v>0</v>
      </c>
      <c r="AP161" s="300">
        <f t="shared" si="123"/>
        <v>0</v>
      </c>
      <c r="AQ161" s="292" t="e">
        <f t="shared" si="95"/>
        <v>#DIV/0!</v>
      </c>
      <c r="AR161" s="300"/>
      <c r="AS161" s="300"/>
      <c r="AT161" s="295" t="e">
        <f t="shared" si="110"/>
        <v>#DIV/0!</v>
      </c>
      <c r="AU161" s="300"/>
      <c r="AV161" s="300"/>
      <c r="AW161" s="295" t="e">
        <f t="shared" si="111"/>
        <v>#DIV/0!</v>
      </c>
      <c r="AX161" s="300"/>
      <c r="AY161" s="304"/>
      <c r="AZ161" s="294" t="e">
        <f t="shared" si="112"/>
        <v>#DIV/0!</v>
      </c>
      <c r="BA161" s="280">
        <f aca="true" t="shared" si="124" ref="BA161:BB163">AX161+AU161+AR161</f>
        <v>0</v>
      </c>
      <c r="BB161" s="280">
        <f t="shared" si="124"/>
        <v>0</v>
      </c>
      <c r="BC161" s="292" t="e">
        <f t="shared" si="96"/>
        <v>#DIV/0!</v>
      </c>
      <c r="BD161" s="304">
        <f>I161+L161+O161+U161+X161+AA161+AG161+AJ161+AM161+AS161+AV161+AY161</f>
        <v>0</v>
      </c>
      <c r="BE161" s="296">
        <f t="shared" si="113"/>
        <v>0</v>
      </c>
      <c r="BF161" s="308">
        <f t="shared" si="119"/>
        <v>125000</v>
      </c>
    </row>
    <row r="162" spans="1:58" ht="19.5" thickBot="1">
      <c r="A162" s="298">
        <v>2</v>
      </c>
      <c r="B162" s="299">
        <v>4</v>
      </c>
      <c r="C162" s="299">
        <v>1</v>
      </c>
      <c r="D162" s="299">
        <v>4</v>
      </c>
      <c r="E162" s="402" t="s">
        <v>150</v>
      </c>
      <c r="F162" s="90" t="s">
        <v>220</v>
      </c>
      <c r="G162" s="300">
        <v>300000</v>
      </c>
      <c r="H162" s="300"/>
      <c r="I162" s="304">
        <v>2800310.2</v>
      </c>
      <c r="J162" s="289" t="e">
        <f t="shared" si="101"/>
        <v>#DIV/0!</v>
      </c>
      <c r="K162" s="302"/>
      <c r="L162" s="300">
        <v>1371545.48</v>
      </c>
      <c r="M162" s="291" t="e">
        <f t="shared" si="102"/>
        <v>#DIV/0!</v>
      </c>
      <c r="N162" s="300"/>
      <c r="O162" s="300">
        <v>1232547</v>
      </c>
      <c r="P162" s="291" t="e">
        <f t="shared" si="103"/>
        <v>#DIV/0!</v>
      </c>
      <c r="Q162" s="280">
        <f t="shared" si="121"/>
        <v>0</v>
      </c>
      <c r="R162" s="280">
        <f t="shared" si="121"/>
        <v>5404402.68</v>
      </c>
      <c r="S162" s="292" t="e">
        <f t="shared" si="120"/>
        <v>#DIV/0!</v>
      </c>
      <c r="T162" s="300"/>
      <c r="U162" s="304"/>
      <c r="V162" s="291" t="e">
        <f t="shared" si="104"/>
        <v>#DIV/0!</v>
      </c>
      <c r="W162" s="300"/>
      <c r="X162" s="304"/>
      <c r="Y162" s="291" t="e">
        <f t="shared" si="105"/>
        <v>#DIV/0!</v>
      </c>
      <c r="Z162" s="300"/>
      <c r="AA162" s="304"/>
      <c r="AB162" s="291" t="e">
        <f t="shared" si="106"/>
        <v>#DIV/0!</v>
      </c>
      <c r="AC162" s="280">
        <f t="shared" si="122"/>
        <v>0</v>
      </c>
      <c r="AD162" s="280">
        <f t="shared" si="122"/>
        <v>0</v>
      </c>
      <c r="AE162" s="292" t="e">
        <f t="shared" si="86"/>
        <v>#DIV/0!</v>
      </c>
      <c r="AF162" s="300"/>
      <c r="AG162" s="304"/>
      <c r="AH162" s="293" t="e">
        <f t="shared" si="107"/>
        <v>#DIV/0!</v>
      </c>
      <c r="AI162" s="300"/>
      <c r="AJ162" s="304"/>
      <c r="AK162" s="294" t="e">
        <f t="shared" si="108"/>
        <v>#DIV/0!</v>
      </c>
      <c r="AL162" s="90"/>
      <c r="AM162" s="90"/>
      <c r="AN162" s="295" t="e">
        <f t="shared" si="109"/>
        <v>#DIV/0!</v>
      </c>
      <c r="AO162" s="300">
        <f t="shared" si="123"/>
        <v>0</v>
      </c>
      <c r="AP162" s="300">
        <f t="shared" si="123"/>
        <v>0</v>
      </c>
      <c r="AQ162" s="292" t="e">
        <f t="shared" si="95"/>
        <v>#DIV/0!</v>
      </c>
      <c r="AR162" s="300"/>
      <c r="AS162" s="300"/>
      <c r="AT162" s="295" t="e">
        <f t="shared" si="110"/>
        <v>#DIV/0!</v>
      </c>
      <c r="AU162" s="300"/>
      <c r="AV162" s="300"/>
      <c r="AW162" s="295" t="e">
        <f t="shared" si="111"/>
        <v>#DIV/0!</v>
      </c>
      <c r="AX162" s="300"/>
      <c r="AY162" s="304"/>
      <c r="AZ162" s="294" t="e">
        <f t="shared" si="112"/>
        <v>#DIV/0!</v>
      </c>
      <c r="BA162" s="280">
        <f t="shared" si="124"/>
        <v>0</v>
      </c>
      <c r="BB162" s="280">
        <f t="shared" si="124"/>
        <v>0</v>
      </c>
      <c r="BC162" s="292" t="e">
        <f t="shared" si="96"/>
        <v>#DIV/0!</v>
      </c>
      <c r="BD162" s="304">
        <f>I162+L162+O162+U162+X162+AA162+AG162+AJ162+AM162+AS162+AV162+AY162</f>
        <v>5404402.68</v>
      </c>
      <c r="BE162" s="296">
        <f t="shared" si="113"/>
        <v>18.0146756</v>
      </c>
      <c r="BF162" s="309">
        <f t="shared" si="119"/>
        <v>-5104402.68</v>
      </c>
    </row>
    <row r="163" spans="1:58" ht="22.5" thickBot="1">
      <c r="A163" s="286">
        <v>2</v>
      </c>
      <c r="B163" s="231">
        <v>4</v>
      </c>
      <c r="C163" s="231">
        <v>1</v>
      </c>
      <c r="D163" s="231">
        <v>5</v>
      </c>
      <c r="E163" s="401"/>
      <c r="F163" s="155" t="s">
        <v>55</v>
      </c>
      <c r="G163" s="287">
        <v>50000</v>
      </c>
      <c r="H163" s="287"/>
      <c r="I163" s="288"/>
      <c r="J163" s="289" t="e">
        <f t="shared" si="101"/>
        <v>#DIV/0!</v>
      </c>
      <c r="K163" s="290"/>
      <c r="L163" s="287"/>
      <c r="M163" s="291" t="e">
        <f t="shared" si="102"/>
        <v>#DIV/0!</v>
      </c>
      <c r="N163" s="287"/>
      <c r="O163" s="287"/>
      <c r="P163" s="291" t="e">
        <f t="shared" si="103"/>
        <v>#DIV/0!</v>
      </c>
      <c r="Q163" s="280">
        <f t="shared" si="121"/>
        <v>0</v>
      </c>
      <c r="R163" s="280">
        <f t="shared" si="121"/>
        <v>0</v>
      </c>
      <c r="S163" s="292" t="e">
        <f t="shared" si="120"/>
        <v>#DIV/0!</v>
      </c>
      <c r="T163" s="287"/>
      <c r="U163" s="288"/>
      <c r="V163" s="291" t="e">
        <f t="shared" si="104"/>
        <v>#DIV/0!</v>
      </c>
      <c r="W163" s="287"/>
      <c r="X163" s="288"/>
      <c r="Y163" s="291" t="e">
        <f t="shared" si="105"/>
        <v>#DIV/0!</v>
      </c>
      <c r="Z163" s="287"/>
      <c r="AA163" s="288"/>
      <c r="AB163" s="291" t="e">
        <f t="shared" si="106"/>
        <v>#DIV/0!</v>
      </c>
      <c r="AC163" s="280">
        <f t="shared" si="122"/>
        <v>0</v>
      </c>
      <c r="AD163" s="280">
        <f t="shared" si="122"/>
        <v>0</v>
      </c>
      <c r="AE163" s="292" t="e">
        <f t="shared" si="86"/>
        <v>#DIV/0!</v>
      </c>
      <c r="AF163" s="287"/>
      <c r="AG163" s="288"/>
      <c r="AH163" s="293" t="e">
        <f t="shared" si="107"/>
        <v>#DIV/0!</v>
      </c>
      <c r="AI163" s="287"/>
      <c r="AJ163" s="288"/>
      <c r="AK163" s="294" t="e">
        <f t="shared" si="108"/>
        <v>#DIV/0!</v>
      </c>
      <c r="AL163" s="155"/>
      <c r="AM163" s="155"/>
      <c r="AN163" s="295" t="e">
        <f t="shared" si="109"/>
        <v>#DIV/0!</v>
      </c>
      <c r="AO163" s="300">
        <f t="shared" si="123"/>
        <v>0</v>
      </c>
      <c r="AP163" s="300">
        <f t="shared" si="123"/>
        <v>0</v>
      </c>
      <c r="AQ163" s="292" t="e">
        <f t="shared" si="95"/>
        <v>#DIV/0!</v>
      </c>
      <c r="AR163" s="287"/>
      <c r="AS163" s="287"/>
      <c r="AT163" s="295" t="e">
        <f t="shared" si="110"/>
        <v>#DIV/0!</v>
      </c>
      <c r="AU163" s="287"/>
      <c r="AV163" s="287"/>
      <c r="AW163" s="295" t="e">
        <f t="shared" si="111"/>
        <v>#DIV/0!</v>
      </c>
      <c r="AX163" s="287"/>
      <c r="AY163" s="288"/>
      <c r="AZ163" s="294" t="e">
        <f t="shared" si="112"/>
        <v>#DIV/0!</v>
      </c>
      <c r="BA163" s="280">
        <f t="shared" si="124"/>
        <v>0</v>
      </c>
      <c r="BB163" s="280">
        <f t="shared" si="124"/>
        <v>0</v>
      </c>
      <c r="BC163" s="292" t="e">
        <f t="shared" si="96"/>
        <v>#DIV/0!</v>
      </c>
      <c r="BD163" s="304">
        <f>I163+L163+O163+U163+X163+AA163+AG163+AJ163+AM163+AS163+AV163+AY163</f>
        <v>0</v>
      </c>
      <c r="BE163" s="296">
        <f t="shared" si="113"/>
        <v>0</v>
      </c>
      <c r="BF163" s="297">
        <f t="shared" si="119"/>
        <v>50000</v>
      </c>
    </row>
    <row r="164" spans="1:58" ht="22.5" thickBot="1">
      <c r="A164" s="286">
        <v>2</v>
      </c>
      <c r="B164" s="231">
        <v>4</v>
      </c>
      <c r="C164" s="231">
        <v>1</v>
      </c>
      <c r="D164" s="231">
        <v>6</v>
      </c>
      <c r="E164" s="401"/>
      <c r="F164" s="155" t="s">
        <v>166</v>
      </c>
      <c r="G164" s="287">
        <f>G165+G166</f>
        <v>35000</v>
      </c>
      <c r="H164" s="287">
        <f>H165+H166</f>
        <v>0</v>
      </c>
      <c r="I164" s="288">
        <f>I165+I166</f>
        <v>0</v>
      </c>
      <c r="J164" s="289" t="e">
        <f t="shared" si="101"/>
        <v>#DIV/0!</v>
      </c>
      <c r="K164" s="290">
        <f>K165+K166</f>
        <v>0</v>
      </c>
      <c r="L164" s="287">
        <f>L165+L166</f>
        <v>0</v>
      </c>
      <c r="M164" s="291" t="e">
        <f t="shared" si="102"/>
        <v>#DIV/0!</v>
      </c>
      <c r="N164" s="287">
        <f>N165+N166</f>
        <v>0</v>
      </c>
      <c r="O164" s="287">
        <f>O165+O166</f>
        <v>0</v>
      </c>
      <c r="P164" s="291" t="e">
        <f t="shared" si="103"/>
        <v>#DIV/0!</v>
      </c>
      <c r="Q164" s="287">
        <f>Q165+Q166</f>
        <v>0</v>
      </c>
      <c r="R164" s="287">
        <f>R165+R166</f>
        <v>0</v>
      </c>
      <c r="S164" s="292" t="e">
        <f t="shared" si="120"/>
        <v>#DIV/0!</v>
      </c>
      <c r="T164" s="287">
        <f>T165+T166</f>
        <v>0</v>
      </c>
      <c r="U164" s="288">
        <f>U165+U166</f>
        <v>0</v>
      </c>
      <c r="V164" s="291" t="e">
        <f t="shared" si="104"/>
        <v>#DIV/0!</v>
      </c>
      <c r="W164" s="287">
        <f>W165+W166</f>
        <v>0</v>
      </c>
      <c r="X164" s="288">
        <f>X165+X166</f>
        <v>0</v>
      </c>
      <c r="Y164" s="291" t="e">
        <f t="shared" si="105"/>
        <v>#DIV/0!</v>
      </c>
      <c r="Z164" s="287">
        <f>Z165+Z166</f>
        <v>0</v>
      </c>
      <c r="AA164" s="288">
        <f>AA165+AA166</f>
        <v>0</v>
      </c>
      <c r="AB164" s="291" t="e">
        <f t="shared" si="106"/>
        <v>#DIV/0!</v>
      </c>
      <c r="AC164" s="287">
        <f>AC165+AC166</f>
        <v>0</v>
      </c>
      <c r="AD164" s="287">
        <f>AD165+AD166</f>
        <v>0</v>
      </c>
      <c r="AE164" s="292" t="e">
        <f t="shared" si="86"/>
        <v>#DIV/0!</v>
      </c>
      <c r="AF164" s="287">
        <f>AF165+AF166</f>
        <v>0</v>
      </c>
      <c r="AG164" s="288">
        <f>AG165+AG166</f>
        <v>0</v>
      </c>
      <c r="AH164" s="293" t="e">
        <f t="shared" si="107"/>
        <v>#DIV/0!</v>
      </c>
      <c r="AI164" s="287">
        <f>AI165+AI166</f>
        <v>0</v>
      </c>
      <c r="AJ164" s="288">
        <f>AJ165+AJ166</f>
        <v>0</v>
      </c>
      <c r="AK164" s="294" t="e">
        <f t="shared" si="108"/>
        <v>#DIV/0!</v>
      </c>
      <c r="AL164" s="287">
        <f>AL165+AL166</f>
        <v>0</v>
      </c>
      <c r="AM164" s="287">
        <f>AM165+AM166</f>
        <v>0</v>
      </c>
      <c r="AN164" s="295" t="e">
        <f t="shared" si="109"/>
        <v>#DIV/0!</v>
      </c>
      <c r="AO164" s="287">
        <f>AO165+AO166</f>
        <v>0</v>
      </c>
      <c r="AP164" s="287">
        <f>AP165+AP166</f>
        <v>0</v>
      </c>
      <c r="AQ164" s="292" t="e">
        <f t="shared" si="95"/>
        <v>#DIV/0!</v>
      </c>
      <c r="AR164" s="287"/>
      <c r="AS164" s="287"/>
      <c r="AT164" s="295" t="e">
        <f t="shared" si="110"/>
        <v>#DIV/0!</v>
      </c>
      <c r="AU164" s="287"/>
      <c r="AV164" s="287"/>
      <c r="AW164" s="295" t="e">
        <f t="shared" si="111"/>
        <v>#DIV/0!</v>
      </c>
      <c r="AX164" s="287">
        <f>AX165+AX166</f>
        <v>0</v>
      </c>
      <c r="AY164" s="288">
        <f>AY165+AY166</f>
        <v>0</v>
      </c>
      <c r="AZ164" s="294" t="e">
        <f t="shared" si="112"/>
        <v>#DIV/0!</v>
      </c>
      <c r="BA164" s="287">
        <f>BA165+BA166</f>
        <v>0</v>
      </c>
      <c r="BB164" s="287">
        <f>BB165+BB166</f>
        <v>0</v>
      </c>
      <c r="BC164" s="292" t="e">
        <f t="shared" si="96"/>
        <v>#DIV/0!</v>
      </c>
      <c r="BD164" s="288">
        <f>BD165+BD166</f>
        <v>0</v>
      </c>
      <c r="BE164" s="296">
        <f t="shared" si="113"/>
        <v>0</v>
      </c>
      <c r="BF164" s="297">
        <f t="shared" si="119"/>
        <v>35000</v>
      </c>
    </row>
    <row r="165" spans="1:58" ht="23.25" thickBot="1">
      <c r="A165" s="298">
        <v>2</v>
      </c>
      <c r="B165" s="299">
        <v>4</v>
      </c>
      <c r="C165" s="299">
        <v>1</v>
      </c>
      <c r="D165" s="299">
        <v>6</v>
      </c>
      <c r="E165" s="402" t="s">
        <v>149</v>
      </c>
      <c r="F165" s="90" t="s">
        <v>54</v>
      </c>
      <c r="G165" s="300">
        <v>25000</v>
      </c>
      <c r="H165" s="300"/>
      <c r="I165" s="304"/>
      <c r="J165" s="289" t="e">
        <f t="shared" si="101"/>
        <v>#DIV/0!</v>
      </c>
      <c r="K165" s="302"/>
      <c r="L165" s="300"/>
      <c r="M165" s="291" t="e">
        <f t="shared" si="102"/>
        <v>#DIV/0!</v>
      </c>
      <c r="N165" s="300"/>
      <c r="O165" s="300"/>
      <c r="P165" s="291" t="e">
        <f t="shared" si="103"/>
        <v>#DIV/0!</v>
      </c>
      <c r="Q165" s="280">
        <f>N165+K165+H165</f>
        <v>0</v>
      </c>
      <c r="R165" s="280">
        <f>O165+L165+I165</f>
        <v>0</v>
      </c>
      <c r="S165" s="292" t="e">
        <f t="shared" si="120"/>
        <v>#DIV/0!</v>
      </c>
      <c r="T165" s="300"/>
      <c r="U165" s="304"/>
      <c r="V165" s="291" t="e">
        <f t="shared" si="104"/>
        <v>#DIV/0!</v>
      </c>
      <c r="W165" s="300"/>
      <c r="X165" s="304"/>
      <c r="Y165" s="291" t="e">
        <f t="shared" si="105"/>
        <v>#DIV/0!</v>
      </c>
      <c r="Z165" s="300"/>
      <c r="AA165" s="304"/>
      <c r="AB165" s="291" t="e">
        <f t="shared" si="106"/>
        <v>#DIV/0!</v>
      </c>
      <c r="AC165" s="280">
        <f>Z165+W165+T165</f>
        <v>0</v>
      </c>
      <c r="AD165" s="280">
        <f>AA165+X165+U165</f>
        <v>0</v>
      </c>
      <c r="AE165" s="292" t="e">
        <f t="shared" si="86"/>
        <v>#DIV/0!</v>
      </c>
      <c r="AF165" s="300"/>
      <c r="AG165" s="304"/>
      <c r="AH165" s="293" t="e">
        <f t="shared" si="107"/>
        <v>#DIV/0!</v>
      </c>
      <c r="AI165" s="300"/>
      <c r="AJ165" s="304"/>
      <c r="AK165" s="294" t="e">
        <f t="shared" si="108"/>
        <v>#DIV/0!</v>
      </c>
      <c r="AL165" s="90"/>
      <c r="AM165" s="90"/>
      <c r="AN165" s="295" t="e">
        <f t="shared" si="109"/>
        <v>#DIV/0!</v>
      </c>
      <c r="AO165" s="300">
        <f>AL165+AI165+AF165</f>
        <v>0</v>
      </c>
      <c r="AP165" s="300">
        <f>AM165+AJ165+AG165</f>
        <v>0</v>
      </c>
      <c r="AQ165" s="292" t="e">
        <f t="shared" si="95"/>
        <v>#DIV/0!</v>
      </c>
      <c r="AR165" s="300"/>
      <c r="AS165" s="300"/>
      <c r="AT165" s="295" t="e">
        <f t="shared" si="110"/>
        <v>#DIV/0!</v>
      </c>
      <c r="AU165" s="300"/>
      <c r="AV165" s="300"/>
      <c r="AW165" s="295" t="e">
        <f t="shared" si="111"/>
        <v>#DIV/0!</v>
      </c>
      <c r="AX165" s="300"/>
      <c r="AY165" s="304"/>
      <c r="AZ165" s="294" t="e">
        <f t="shared" si="112"/>
        <v>#DIV/0!</v>
      </c>
      <c r="BA165" s="280">
        <f>AX165+AU165+AR165</f>
        <v>0</v>
      </c>
      <c r="BB165" s="280">
        <f>AY165+AV165+AS165</f>
        <v>0</v>
      </c>
      <c r="BC165" s="292" t="e">
        <f t="shared" si="96"/>
        <v>#DIV/0!</v>
      </c>
      <c r="BD165" s="304">
        <f>I165+L165+O165+U165+X165+AA165+AG165+AJ165+AM165+AS165+AV165+AY165</f>
        <v>0</v>
      </c>
      <c r="BE165" s="296">
        <f t="shared" si="113"/>
        <v>0</v>
      </c>
      <c r="BF165" s="308">
        <f t="shared" si="119"/>
        <v>25000</v>
      </c>
    </row>
    <row r="166" spans="1:58" ht="23.25" thickBot="1">
      <c r="A166" s="298">
        <v>2</v>
      </c>
      <c r="B166" s="299">
        <v>4</v>
      </c>
      <c r="C166" s="299">
        <v>1</v>
      </c>
      <c r="D166" s="299">
        <v>6</v>
      </c>
      <c r="E166" s="402" t="s">
        <v>152</v>
      </c>
      <c r="F166" s="90" t="s">
        <v>131</v>
      </c>
      <c r="G166" s="300">
        <v>10000</v>
      </c>
      <c r="H166" s="300"/>
      <c r="I166" s="304"/>
      <c r="J166" s="289" t="e">
        <f t="shared" si="101"/>
        <v>#DIV/0!</v>
      </c>
      <c r="K166" s="302"/>
      <c r="L166" s="300"/>
      <c r="M166" s="291" t="e">
        <f t="shared" si="102"/>
        <v>#DIV/0!</v>
      </c>
      <c r="N166" s="300"/>
      <c r="O166" s="300"/>
      <c r="P166" s="291" t="e">
        <f t="shared" si="103"/>
        <v>#DIV/0!</v>
      </c>
      <c r="Q166" s="280">
        <f>N166+K166+H166</f>
        <v>0</v>
      </c>
      <c r="R166" s="280">
        <f>O166+L166+I166</f>
        <v>0</v>
      </c>
      <c r="S166" s="292" t="e">
        <f t="shared" si="120"/>
        <v>#DIV/0!</v>
      </c>
      <c r="T166" s="300"/>
      <c r="U166" s="304"/>
      <c r="V166" s="291" t="e">
        <f t="shared" si="104"/>
        <v>#DIV/0!</v>
      </c>
      <c r="W166" s="300"/>
      <c r="X166" s="304"/>
      <c r="Y166" s="291" t="e">
        <f t="shared" si="105"/>
        <v>#DIV/0!</v>
      </c>
      <c r="Z166" s="300"/>
      <c r="AA166" s="304"/>
      <c r="AB166" s="291" t="e">
        <f t="shared" si="106"/>
        <v>#DIV/0!</v>
      </c>
      <c r="AC166" s="280">
        <f>Z166+W166+T166</f>
        <v>0</v>
      </c>
      <c r="AD166" s="280">
        <f>AA166+X166+U166</f>
        <v>0</v>
      </c>
      <c r="AE166" s="292" t="e">
        <f t="shared" si="86"/>
        <v>#DIV/0!</v>
      </c>
      <c r="AF166" s="300"/>
      <c r="AG166" s="304"/>
      <c r="AH166" s="293" t="e">
        <f t="shared" si="107"/>
        <v>#DIV/0!</v>
      </c>
      <c r="AI166" s="300"/>
      <c r="AJ166" s="304"/>
      <c r="AK166" s="294" t="e">
        <f t="shared" si="108"/>
        <v>#DIV/0!</v>
      </c>
      <c r="AL166" s="90"/>
      <c r="AM166" s="90"/>
      <c r="AN166" s="295" t="e">
        <f t="shared" si="109"/>
        <v>#DIV/0!</v>
      </c>
      <c r="AO166" s="300">
        <f>AL166+AI166+AF166</f>
        <v>0</v>
      </c>
      <c r="AP166" s="300">
        <f>AM166+AJ166+AG166</f>
        <v>0</v>
      </c>
      <c r="AQ166" s="292" t="e">
        <f t="shared" si="95"/>
        <v>#DIV/0!</v>
      </c>
      <c r="AR166" s="300"/>
      <c r="AS166" s="300"/>
      <c r="AT166" s="295" t="e">
        <f t="shared" si="110"/>
        <v>#DIV/0!</v>
      </c>
      <c r="AU166" s="300"/>
      <c r="AV166" s="300"/>
      <c r="AW166" s="295" t="e">
        <f t="shared" si="111"/>
        <v>#DIV/0!</v>
      </c>
      <c r="AX166" s="300"/>
      <c r="AY166" s="304"/>
      <c r="AZ166" s="294" t="e">
        <f t="shared" si="112"/>
        <v>#DIV/0!</v>
      </c>
      <c r="BA166" s="280">
        <f>AX166+AU166+AR166</f>
        <v>0</v>
      </c>
      <c r="BB166" s="280">
        <f>AY166+AV166+AS166</f>
        <v>0</v>
      </c>
      <c r="BC166" s="292" t="e">
        <f t="shared" si="96"/>
        <v>#DIV/0!</v>
      </c>
      <c r="BD166" s="304">
        <f>I166+L166+O166+U166+X166+AA166+AG166+AJ166+AM166+AS166+AV166+AY166</f>
        <v>0</v>
      </c>
      <c r="BE166" s="296">
        <f t="shared" si="113"/>
        <v>0</v>
      </c>
      <c r="BF166" s="308">
        <f t="shared" si="119"/>
        <v>10000</v>
      </c>
    </row>
    <row r="167" spans="1:58" ht="13.5" thickBot="1">
      <c r="A167" s="358"/>
      <c r="B167" s="359"/>
      <c r="C167" s="359"/>
      <c r="D167" s="359"/>
      <c r="E167" s="414"/>
      <c r="F167" s="91"/>
      <c r="G167" s="319"/>
      <c r="H167" s="319"/>
      <c r="I167" s="316"/>
      <c r="J167" s="317" t="e">
        <f t="shared" si="101"/>
        <v>#DIV/0!</v>
      </c>
      <c r="K167" s="318"/>
      <c r="L167" s="319"/>
      <c r="M167" s="320" t="e">
        <f t="shared" si="102"/>
        <v>#DIV/0!</v>
      </c>
      <c r="N167" s="319"/>
      <c r="O167" s="319"/>
      <c r="P167" s="320" t="e">
        <f t="shared" si="103"/>
        <v>#DIV/0!</v>
      </c>
      <c r="Q167" s="321"/>
      <c r="R167" s="321"/>
      <c r="S167" s="322" t="e">
        <f t="shared" si="120"/>
        <v>#DIV/0!</v>
      </c>
      <c r="T167" s="319"/>
      <c r="U167" s="316"/>
      <c r="V167" s="320" t="e">
        <f t="shared" si="104"/>
        <v>#DIV/0!</v>
      </c>
      <c r="W167" s="319"/>
      <c r="X167" s="316"/>
      <c r="Y167" s="320" t="e">
        <f t="shared" si="105"/>
        <v>#DIV/0!</v>
      </c>
      <c r="Z167" s="319"/>
      <c r="AA167" s="316"/>
      <c r="AB167" s="320" t="e">
        <f t="shared" si="106"/>
        <v>#DIV/0!</v>
      </c>
      <c r="AC167" s="321"/>
      <c r="AD167" s="321"/>
      <c r="AE167" s="322" t="e">
        <f t="shared" si="86"/>
        <v>#DIV/0!</v>
      </c>
      <c r="AF167" s="319"/>
      <c r="AG167" s="316"/>
      <c r="AH167" s="293" t="e">
        <f t="shared" si="107"/>
        <v>#DIV/0!</v>
      </c>
      <c r="AI167" s="319"/>
      <c r="AJ167" s="316"/>
      <c r="AK167" s="323" t="e">
        <f t="shared" si="108"/>
        <v>#DIV/0!</v>
      </c>
      <c r="AL167" s="91"/>
      <c r="AM167" s="91"/>
      <c r="AN167" s="324" t="e">
        <f t="shared" si="109"/>
        <v>#DIV/0!</v>
      </c>
      <c r="AO167" s="319"/>
      <c r="AP167" s="319"/>
      <c r="AQ167" s="322" t="e">
        <f t="shared" si="95"/>
        <v>#DIV/0!</v>
      </c>
      <c r="AR167" s="319"/>
      <c r="AS167" s="319"/>
      <c r="AT167" s="324" t="e">
        <f t="shared" si="110"/>
        <v>#DIV/0!</v>
      </c>
      <c r="AU167" s="319"/>
      <c r="AV167" s="319"/>
      <c r="AW167" s="324" t="e">
        <f t="shared" si="111"/>
        <v>#DIV/0!</v>
      </c>
      <c r="AX167" s="319"/>
      <c r="AY167" s="316"/>
      <c r="AZ167" s="323" t="e">
        <f t="shared" si="112"/>
        <v>#DIV/0!</v>
      </c>
      <c r="BA167" s="321"/>
      <c r="BB167" s="321"/>
      <c r="BC167" s="322" t="e">
        <f t="shared" si="96"/>
        <v>#DIV/0!</v>
      </c>
      <c r="BD167" s="316"/>
      <c r="BE167" s="348" t="e">
        <f t="shared" si="113"/>
        <v>#DIV/0!</v>
      </c>
      <c r="BF167" s="326"/>
    </row>
    <row r="168" spans="1:58" ht="13.5" thickBot="1">
      <c r="A168" s="263">
        <v>2</v>
      </c>
      <c r="B168" s="264">
        <v>6</v>
      </c>
      <c r="C168" s="264"/>
      <c r="D168" s="264"/>
      <c r="E168" s="399"/>
      <c r="F168" s="211" t="s">
        <v>66</v>
      </c>
      <c r="G168" s="265">
        <f>G170+G175+G181+G178</f>
        <v>974285</v>
      </c>
      <c r="H168" s="265">
        <f>H170+H175+H181+H178</f>
        <v>0</v>
      </c>
      <c r="I168" s="266">
        <f>I170+I175+I181+I178</f>
        <v>0</v>
      </c>
      <c r="J168" s="267" t="e">
        <f t="shared" si="101"/>
        <v>#DIV/0!</v>
      </c>
      <c r="K168" s="268">
        <f>K170+K175+K181+K178</f>
        <v>0</v>
      </c>
      <c r="L168" s="265">
        <f>L170+L175+L181+L178</f>
        <v>0</v>
      </c>
      <c r="M168" s="269" t="e">
        <f t="shared" si="102"/>
        <v>#DIV/0!</v>
      </c>
      <c r="N168" s="265">
        <f>N170+N175+N181+N178</f>
        <v>0</v>
      </c>
      <c r="O168" s="265">
        <f>O170+O175+O181+O178</f>
        <v>180000</v>
      </c>
      <c r="P168" s="269" t="e">
        <f t="shared" si="103"/>
        <v>#DIV/0!</v>
      </c>
      <c r="Q168" s="265">
        <f>Q170+Q175+Q181+Q178</f>
        <v>0</v>
      </c>
      <c r="R168" s="265">
        <f>R170+R175+R181+R178</f>
        <v>180000</v>
      </c>
      <c r="S168" s="327" t="e">
        <f t="shared" si="120"/>
        <v>#DIV/0!</v>
      </c>
      <c r="T168" s="265">
        <f>T170+T175+T181+T178</f>
        <v>0</v>
      </c>
      <c r="U168" s="266">
        <f>U170+U175+U181+U178</f>
        <v>0</v>
      </c>
      <c r="V168" s="269" t="e">
        <f t="shared" si="104"/>
        <v>#DIV/0!</v>
      </c>
      <c r="W168" s="265">
        <f>W170+W175+W181+W178</f>
        <v>0</v>
      </c>
      <c r="X168" s="266">
        <f>X170+X175+X181+X178</f>
        <v>0</v>
      </c>
      <c r="Y168" s="269" t="e">
        <f t="shared" si="105"/>
        <v>#DIV/0!</v>
      </c>
      <c r="Z168" s="265">
        <f>Z170+Z175+Z181+Z178</f>
        <v>0</v>
      </c>
      <c r="AA168" s="266">
        <f>AA170+AA175+AA181+AA178</f>
        <v>0</v>
      </c>
      <c r="AB168" s="269" t="e">
        <f t="shared" si="106"/>
        <v>#DIV/0!</v>
      </c>
      <c r="AC168" s="265">
        <f>AC170+AC175+AC181+AC178</f>
        <v>0</v>
      </c>
      <c r="AD168" s="265">
        <f>AD170+AD175+AD181+AD178</f>
        <v>0</v>
      </c>
      <c r="AE168" s="327" t="e">
        <f t="shared" si="86"/>
        <v>#DIV/0!</v>
      </c>
      <c r="AF168" s="265">
        <f>AF170+AF175+AF181+AF178</f>
        <v>0</v>
      </c>
      <c r="AG168" s="266">
        <f>AG170+AG175+AG181+AG178</f>
        <v>0</v>
      </c>
      <c r="AH168" s="271" t="e">
        <f t="shared" si="107"/>
        <v>#DIV/0!</v>
      </c>
      <c r="AI168" s="265">
        <f>AI170+AI175+AI181+AI178</f>
        <v>0</v>
      </c>
      <c r="AJ168" s="266">
        <f>AJ170+AJ175+AJ181+AJ178</f>
        <v>0</v>
      </c>
      <c r="AK168" s="266" t="e">
        <f t="shared" si="108"/>
        <v>#DIV/0!</v>
      </c>
      <c r="AL168" s="265">
        <f>AL170+AL175+AL181+AL178</f>
        <v>0</v>
      </c>
      <c r="AM168" s="265">
        <f>AM170+AM175+AM181+AM178</f>
        <v>0</v>
      </c>
      <c r="AN168" s="265" t="e">
        <f t="shared" si="109"/>
        <v>#DIV/0!</v>
      </c>
      <c r="AO168" s="265">
        <f>AO170+AO175+AO181+AO178</f>
        <v>0</v>
      </c>
      <c r="AP168" s="265">
        <f>AP170+AP175+AP181+AP178</f>
        <v>0</v>
      </c>
      <c r="AQ168" s="327" t="e">
        <f t="shared" si="95"/>
        <v>#DIV/0!</v>
      </c>
      <c r="AR168" s="265"/>
      <c r="AS168" s="265"/>
      <c r="AT168" s="265" t="e">
        <f t="shared" si="110"/>
        <v>#DIV/0!</v>
      </c>
      <c r="AU168" s="265"/>
      <c r="AV168" s="265"/>
      <c r="AW168" s="265" t="e">
        <f t="shared" si="111"/>
        <v>#DIV/0!</v>
      </c>
      <c r="AX168" s="265">
        <f>AX170+AX175+AX181+AX178</f>
        <v>0</v>
      </c>
      <c r="AY168" s="266">
        <f>AY170+AY175+AY181+AY178</f>
        <v>0</v>
      </c>
      <c r="AZ168" s="266" t="e">
        <f t="shared" si="112"/>
        <v>#DIV/0!</v>
      </c>
      <c r="BA168" s="265">
        <f>BA170+BA175+BA181+BA178</f>
        <v>0</v>
      </c>
      <c r="BB168" s="265">
        <f>BB170+BB175+BB181+BB178</f>
        <v>0</v>
      </c>
      <c r="BC168" s="327" t="e">
        <f t="shared" si="96"/>
        <v>#DIV/0!</v>
      </c>
      <c r="BD168" s="266">
        <f>BD170+BD175+BD181+BD178</f>
        <v>180000</v>
      </c>
      <c r="BE168" s="269">
        <f t="shared" si="113"/>
        <v>0.1847508685856808</v>
      </c>
      <c r="BF168" s="328">
        <f t="shared" si="119"/>
        <v>794285</v>
      </c>
    </row>
    <row r="169" spans="1:58" ht="13.5" thickBot="1">
      <c r="A169" s="272"/>
      <c r="B169" s="273"/>
      <c r="C169" s="329"/>
      <c r="D169" s="329"/>
      <c r="E169" s="406"/>
      <c r="F169" s="130"/>
      <c r="G169" s="274"/>
      <c r="H169" s="274"/>
      <c r="I169" s="275"/>
      <c r="J169" s="276"/>
      <c r="K169" s="277"/>
      <c r="L169" s="278"/>
      <c r="M169" s="279"/>
      <c r="N169" s="278"/>
      <c r="O169" s="278"/>
      <c r="P169" s="279"/>
      <c r="Q169" s="330"/>
      <c r="R169" s="330"/>
      <c r="S169" s="281"/>
      <c r="T169" s="274"/>
      <c r="U169" s="275"/>
      <c r="V169" s="279"/>
      <c r="W169" s="274"/>
      <c r="X169" s="275"/>
      <c r="Y169" s="279"/>
      <c r="Z169" s="274"/>
      <c r="AA169" s="275"/>
      <c r="AB169" s="279"/>
      <c r="AC169" s="330"/>
      <c r="AD169" s="330"/>
      <c r="AE169" s="281"/>
      <c r="AF169" s="274"/>
      <c r="AG169" s="275"/>
      <c r="AH169" s="282"/>
      <c r="AI169" s="274"/>
      <c r="AJ169" s="275"/>
      <c r="AK169" s="283"/>
      <c r="AL169" s="169"/>
      <c r="AM169" s="169"/>
      <c r="AN169" s="274"/>
      <c r="AO169" s="278"/>
      <c r="AP169" s="278"/>
      <c r="AQ169" s="281"/>
      <c r="AR169" s="278"/>
      <c r="AS169" s="278"/>
      <c r="AT169" s="274"/>
      <c r="AU169" s="278"/>
      <c r="AV169" s="278"/>
      <c r="AW169" s="274"/>
      <c r="AX169" s="278"/>
      <c r="AY169" s="275"/>
      <c r="AZ169" s="283"/>
      <c r="BA169" s="330"/>
      <c r="BB169" s="330"/>
      <c r="BC169" s="281"/>
      <c r="BD169" s="283"/>
      <c r="BE169" s="279"/>
      <c r="BF169" s="285"/>
    </row>
    <row r="170" spans="1:58" ht="13.5" thickBot="1">
      <c r="A170" s="286">
        <v>2</v>
      </c>
      <c r="B170" s="231">
        <v>6</v>
      </c>
      <c r="C170" s="231">
        <v>1</v>
      </c>
      <c r="D170" s="231"/>
      <c r="E170" s="403"/>
      <c r="F170" s="155" t="s">
        <v>108</v>
      </c>
      <c r="G170" s="287">
        <f>G171+G172+G173</f>
        <v>355000</v>
      </c>
      <c r="H170" s="287">
        <f>H171+H172+H173</f>
        <v>0</v>
      </c>
      <c r="I170" s="288">
        <f>I171+I172+I173</f>
        <v>0</v>
      </c>
      <c r="J170" s="289" t="e">
        <f t="shared" si="101"/>
        <v>#DIV/0!</v>
      </c>
      <c r="K170" s="290">
        <f>K171+K172+K173</f>
        <v>0</v>
      </c>
      <c r="L170" s="287">
        <f>L171+L172+L173</f>
        <v>0</v>
      </c>
      <c r="M170" s="291" t="e">
        <f t="shared" si="102"/>
        <v>#DIV/0!</v>
      </c>
      <c r="N170" s="287">
        <f>N171+N172+N173</f>
        <v>0</v>
      </c>
      <c r="O170" s="287">
        <f>O171+O172+O173</f>
        <v>0</v>
      </c>
      <c r="P170" s="291" t="e">
        <f t="shared" si="103"/>
        <v>#DIV/0!</v>
      </c>
      <c r="Q170" s="287">
        <f>Q171+Q172+Q173</f>
        <v>0</v>
      </c>
      <c r="R170" s="287">
        <f>R171+R172+R173</f>
        <v>0</v>
      </c>
      <c r="S170" s="292" t="e">
        <f t="shared" si="120"/>
        <v>#DIV/0!</v>
      </c>
      <c r="T170" s="287">
        <f>T171+T172+T173</f>
        <v>0</v>
      </c>
      <c r="U170" s="288">
        <f>U171+U172+U173</f>
        <v>0</v>
      </c>
      <c r="V170" s="291" t="e">
        <f t="shared" si="104"/>
        <v>#DIV/0!</v>
      </c>
      <c r="W170" s="287">
        <f>W171+W172+W173</f>
        <v>0</v>
      </c>
      <c r="X170" s="288">
        <f>X171+X172+X173</f>
        <v>0</v>
      </c>
      <c r="Y170" s="291" t="e">
        <f t="shared" si="105"/>
        <v>#DIV/0!</v>
      </c>
      <c r="Z170" s="287">
        <f>Z171+Z172+Z173</f>
        <v>0</v>
      </c>
      <c r="AA170" s="288">
        <f>AA171+AA172+AA173</f>
        <v>0</v>
      </c>
      <c r="AB170" s="291" t="e">
        <f t="shared" si="106"/>
        <v>#DIV/0!</v>
      </c>
      <c r="AC170" s="287">
        <f>AC171+AC172+AC173</f>
        <v>0</v>
      </c>
      <c r="AD170" s="287">
        <f>AD171+AD172+AD173</f>
        <v>0</v>
      </c>
      <c r="AE170" s="292" t="e">
        <f t="shared" si="86"/>
        <v>#DIV/0!</v>
      </c>
      <c r="AF170" s="287">
        <f>AF171+AF172+AF173</f>
        <v>0</v>
      </c>
      <c r="AG170" s="288">
        <f>AG171+AG172+AG173</f>
        <v>0</v>
      </c>
      <c r="AH170" s="293" t="e">
        <f t="shared" si="107"/>
        <v>#DIV/0!</v>
      </c>
      <c r="AI170" s="287">
        <f>AI171+AI172+AI173</f>
        <v>0</v>
      </c>
      <c r="AJ170" s="288">
        <f>AJ171+AJ172+AJ173</f>
        <v>0</v>
      </c>
      <c r="AK170" s="294" t="e">
        <f t="shared" si="108"/>
        <v>#DIV/0!</v>
      </c>
      <c r="AL170" s="287">
        <f>AL171+AL172+AL173</f>
        <v>0</v>
      </c>
      <c r="AM170" s="287">
        <f>AM171+AM172+AM173</f>
        <v>0</v>
      </c>
      <c r="AN170" s="295" t="e">
        <f t="shared" si="109"/>
        <v>#DIV/0!</v>
      </c>
      <c r="AO170" s="287">
        <f>AO171+AO172+AO173</f>
        <v>0</v>
      </c>
      <c r="AP170" s="287">
        <f>AP171+AP172+AP173</f>
        <v>0</v>
      </c>
      <c r="AQ170" s="292" t="e">
        <f t="shared" si="95"/>
        <v>#DIV/0!</v>
      </c>
      <c r="AR170" s="287"/>
      <c r="AS170" s="287"/>
      <c r="AT170" s="295" t="e">
        <f t="shared" si="110"/>
        <v>#DIV/0!</v>
      </c>
      <c r="AU170" s="287"/>
      <c r="AV170" s="287"/>
      <c r="AW170" s="295" t="e">
        <f t="shared" si="111"/>
        <v>#DIV/0!</v>
      </c>
      <c r="AX170" s="287">
        <f>AX171+AX172+AX173</f>
        <v>0</v>
      </c>
      <c r="AY170" s="288">
        <f>AY171+AY172+AY173</f>
        <v>0</v>
      </c>
      <c r="AZ170" s="294" t="e">
        <f t="shared" si="112"/>
        <v>#DIV/0!</v>
      </c>
      <c r="BA170" s="287">
        <f>BA171+BA172+BA173</f>
        <v>0</v>
      </c>
      <c r="BB170" s="287">
        <f>BB171+BB172+BB173</f>
        <v>0</v>
      </c>
      <c r="BC170" s="292" t="e">
        <f t="shared" si="96"/>
        <v>#DIV/0!</v>
      </c>
      <c r="BD170" s="288">
        <f>BD171+BD172+BD173</f>
        <v>0</v>
      </c>
      <c r="BE170" s="296">
        <f t="shared" si="113"/>
        <v>0</v>
      </c>
      <c r="BF170" s="297">
        <f t="shared" si="119"/>
        <v>355000</v>
      </c>
    </row>
    <row r="171" spans="1:58" ht="13.5" thickBot="1">
      <c r="A171" s="286">
        <v>2</v>
      </c>
      <c r="B171" s="231">
        <v>6</v>
      </c>
      <c r="C171" s="231">
        <v>1</v>
      </c>
      <c r="D171" s="231">
        <v>1</v>
      </c>
      <c r="E171" s="401"/>
      <c r="F171" s="155" t="s">
        <v>147</v>
      </c>
      <c r="G171" s="287">
        <v>125000</v>
      </c>
      <c r="H171" s="287"/>
      <c r="I171" s="288"/>
      <c r="J171" s="289" t="e">
        <f t="shared" si="101"/>
        <v>#DIV/0!</v>
      </c>
      <c r="K171" s="290"/>
      <c r="L171" s="287"/>
      <c r="M171" s="291" t="e">
        <f t="shared" si="102"/>
        <v>#DIV/0!</v>
      </c>
      <c r="N171" s="287"/>
      <c r="O171" s="287"/>
      <c r="P171" s="291" t="e">
        <f t="shared" si="103"/>
        <v>#DIV/0!</v>
      </c>
      <c r="Q171" s="280">
        <f aca="true" t="shared" si="125" ref="Q171:R173">N171+K171+H171</f>
        <v>0</v>
      </c>
      <c r="R171" s="280">
        <f t="shared" si="125"/>
        <v>0</v>
      </c>
      <c r="S171" s="292" t="e">
        <f t="shared" si="120"/>
        <v>#DIV/0!</v>
      </c>
      <c r="T171" s="287"/>
      <c r="U171" s="288"/>
      <c r="V171" s="291" t="e">
        <f t="shared" si="104"/>
        <v>#DIV/0!</v>
      </c>
      <c r="W171" s="287"/>
      <c r="X171" s="288"/>
      <c r="Y171" s="291" t="e">
        <f t="shared" si="105"/>
        <v>#DIV/0!</v>
      </c>
      <c r="Z171" s="287"/>
      <c r="AA171" s="288"/>
      <c r="AB171" s="291" t="e">
        <f t="shared" si="106"/>
        <v>#DIV/0!</v>
      </c>
      <c r="AC171" s="280">
        <f aca="true" t="shared" si="126" ref="AC171:AD173">Z171+W171+T171</f>
        <v>0</v>
      </c>
      <c r="AD171" s="280">
        <f t="shared" si="126"/>
        <v>0</v>
      </c>
      <c r="AE171" s="292" t="e">
        <f t="shared" si="86"/>
        <v>#DIV/0!</v>
      </c>
      <c r="AF171" s="287"/>
      <c r="AG171" s="288"/>
      <c r="AH171" s="293" t="e">
        <f t="shared" si="107"/>
        <v>#DIV/0!</v>
      </c>
      <c r="AI171" s="287"/>
      <c r="AJ171" s="288"/>
      <c r="AK171" s="294" t="e">
        <f t="shared" si="108"/>
        <v>#DIV/0!</v>
      </c>
      <c r="AL171" s="155"/>
      <c r="AM171" s="155"/>
      <c r="AN171" s="155" t="e">
        <f>AM171/AL171</f>
        <v>#DIV/0!</v>
      </c>
      <c r="AO171" s="300">
        <f aca="true" t="shared" si="127" ref="AO171:AP173">AL171+AI171+AF171</f>
        <v>0</v>
      </c>
      <c r="AP171" s="300">
        <f t="shared" si="127"/>
        <v>0</v>
      </c>
      <c r="AQ171" s="292" t="e">
        <f t="shared" si="95"/>
        <v>#DIV/0!</v>
      </c>
      <c r="AR171" s="287"/>
      <c r="AS171" s="287"/>
      <c r="AT171" s="295" t="e">
        <f t="shared" si="110"/>
        <v>#DIV/0!</v>
      </c>
      <c r="AU171" s="287"/>
      <c r="AV171" s="287"/>
      <c r="AW171" s="295" t="e">
        <f t="shared" si="111"/>
        <v>#DIV/0!</v>
      </c>
      <c r="AX171" s="287"/>
      <c r="AY171" s="288"/>
      <c r="AZ171" s="294" t="e">
        <f t="shared" si="112"/>
        <v>#DIV/0!</v>
      </c>
      <c r="BA171" s="280">
        <f aca="true" t="shared" si="128" ref="BA171:BB173">AX171+AU171+AR171</f>
        <v>0</v>
      </c>
      <c r="BB171" s="280">
        <f t="shared" si="128"/>
        <v>0</v>
      </c>
      <c r="BC171" s="292" t="e">
        <f t="shared" si="96"/>
        <v>#DIV/0!</v>
      </c>
      <c r="BD171" s="304">
        <f>I171+L171+O171+U171+X171+AA171+AG171+AJ171+AM171+AS171+AV171+AY171</f>
        <v>0</v>
      </c>
      <c r="BE171" s="296">
        <f t="shared" si="113"/>
        <v>0</v>
      </c>
      <c r="BF171" s="297">
        <f t="shared" si="119"/>
        <v>125000</v>
      </c>
    </row>
    <row r="172" spans="1:58" ht="13.5" thickBot="1">
      <c r="A172" s="286">
        <v>2</v>
      </c>
      <c r="B172" s="231">
        <v>6</v>
      </c>
      <c r="C172" s="231">
        <v>1</v>
      </c>
      <c r="D172" s="231">
        <v>3</v>
      </c>
      <c r="E172" s="401"/>
      <c r="F172" s="155" t="s">
        <v>196</v>
      </c>
      <c r="G172" s="287">
        <v>150000</v>
      </c>
      <c r="H172" s="287"/>
      <c r="I172" s="288"/>
      <c r="J172" s="289" t="e">
        <f t="shared" si="101"/>
        <v>#DIV/0!</v>
      </c>
      <c r="K172" s="290"/>
      <c r="L172" s="287"/>
      <c r="M172" s="291" t="e">
        <f t="shared" si="102"/>
        <v>#DIV/0!</v>
      </c>
      <c r="N172" s="287"/>
      <c r="O172" s="287"/>
      <c r="P172" s="291" t="e">
        <f t="shared" si="103"/>
        <v>#DIV/0!</v>
      </c>
      <c r="Q172" s="280">
        <f t="shared" si="125"/>
        <v>0</v>
      </c>
      <c r="R172" s="280">
        <f t="shared" si="125"/>
        <v>0</v>
      </c>
      <c r="S172" s="292" t="e">
        <f t="shared" si="120"/>
        <v>#DIV/0!</v>
      </c>
      <c r="T172" s="287"/>
      <c r="U172" s="288"/>
      <c r="V172" s="291" t="e">
        <f t="shared" si="104"/>
        <v>#DIV/0!</v>
      </c>
      <c r="W172" s="287"/>
      <c r="X172" s="288"/>
      <c r="Y172" s="291" t="e">
        <f t="shared" si="105"/>
        <v>#DIV/0!</v>
      </c>
      <c r="Z172" s="287"/>
      <c r="AA172" s="288"/>
      <c r="AB172" s="291" t="e">
        <f t="shared" si="106"/>
        <v>#DIV/0!</v>
      </c>
      <c r="AC172" s="280">
        <f t="shared" si="126"/>
        <v>0</v>
      </c>
      <c r="AD172" s="280">
        <f t="shared" si="126"/>
        <v>0</v>
      </c>
      <c r="AE172" s="292" t="e">
        <f t="shared" si="86"/>
        <v>#DIV/0!</v>
      </c>
      <c r="AF172" s="287"/>
      <c r="AG172" s="288"/>
      <c r="AH172" s="293" t="e">
        <f t="shared" si="107"/>
        <v>#DIV/0!</v>
      </c>
      <c r="AI172" s="287"/>
      <c r="AJ172" s="288"/>
      <c r="AK172" s="294" t="e">
        <f t="shared" si="108"/>
        <v>#DIV/0!</v>
      </c>
      <c r="AL172" s="155"/>
      <c r="AM172" s="155"/>
      <c r="AN172" s="155" t="e">
        <f aca="true" t="shared" si="129" ref="AN172:AN189">AM172/AL172</f>
        <v>#DIV/0!</v>
      </c>
      <c r="AO172" s="300">
        <f t="shared" si="127"/>
        <v>0</v>
      </c>
      <c r="AP172" s="300">
        <f t="shared" si="127"/>
        <v>0</v>
      </c>
      <c r="AQ172" s="292" t="e">
        <f t="shared" si="95"/>
        <v>#DIV/0!</v>
      </c>
      <c r="AR172" s="287"/>
      <c r="AS172" s="287"/>
      <c r="AT172" s="295" t="e">
        <f t="shared" si="110"/>
        <v>#DIV/0!</v>
      </c>
      <c r="AU172" s="287"/>
      <c r="AV172" s="287"/>
      <c r="AW172" s="295" t="e">
        <f t="shared" si="111"/>
        <v>#DIV/0!</v>
      </c>
      <c r="AX172" s="287"/>
      <c r="AY172" s="288"/>
      <c r="AZ172" s="294" t="e">
        <f t="shared" si="112"/>
        <v>#DIV/0!</v>
      </c>
      <c r="BA172" s="280">
        <f t="shared" si="128"/>
        <v>0</v>
      </c>
      <c r="BB172" s="280">
        <f t="shared" si="128"/>
        <v>0</v>
      </c>
      <c r="BC172" s="292" t="e">
        <f t="shared" si="96"/>
        <v>#DIV/0!</v>
      </c>
      <c r="BD172" s="304">
        <f>I172+L172+O172+U172+X172+AA172+AG172+AJ172+AM172+AS172+AV172+AY172</f>
        <v>0</v>
      </c>
      <c r="BE172" s="296">
        <f t="shared" si="113"/>
        <v>0</v>
      </c>
      <c r="BF172" s="297">
        <f t="shared" si="119"/>
        <v>150000</v>
      </c>
    </row>
    <row r="173" spans="1:58" ht="13.5" thickBot="1">
      <c r="A173" s="286">
        <v>2</v>
      </c>
      <c r="B173" s="231">
        <v>6</v>
      </c>
      <c r="C173" s="231">
        <v>1</v>
      </c>
      <c r="D173" s="231">
        <v>9</v>
      </c>
      <c r="E173" s="401"/>
      <c r="F173" s="155" t="s">
        <v>203</v>
      </c>
      <c r="G173" s="287">
        <v>80000</v>
      </c>
      <c r="H173" s="287"/>
      <c r="I173" s="288"/>
      <c r="J173" s="289" t="e">
        <f t="shared" si="101"/>
        <v>#DIV/0!</v>
      </c>
      <c r="K173" s="290"/>
      <c r="L173" s="287"/>
      <c r="M173" s="291" t="e">
        <f t="shared" si="102"/>
        <v>#DIV/0!</v>
      </c>
      <c r="N173" s="287"/>
      <c r="O173" s="287"/>
      <c r="P173" s="291" t="e">
        <f t="shared" si="103"/>
        <v>#DIV/0!</v>
      </c>
      <c r="Q173" s="280">
        <f t="shared" si="125"/>
        <v>0</v>
      </c>
      <c r="R173" s="280">
        <f t="shared" si="125"/>
        <v>0</v>
      </c>
      <c r="S173" s="292" t="e">
        <f t="shared" si="120"/>
        <v>#DIV/0!</v>
      </c>
      <c r="T173" s="287"/>
      <c r="U173" s="288"/>
      <c r="V173" s="291" t="e">
        <f t="shared" si="104"/>
        <v>#DIV/0!</v>
      </c>
      <c r="W173" s="287"/>
      <c r="X173" s="288"/>
      <c r="Y173" s="291" t="e">
        <f t="shared" si="105"/>
        <v>#DIV/0!</v>
      </c>
      <c r="Z173" s="287"/>
      <c r="AA173" s="288"/>
      <c r="AB173" s="291" t="e">
        <f t="shared" si="106"/>
        <v>#DIV/0!</v>
      </c>
      <c r="AC173" s="280">
        <f t="shared" si="126"/>
        <v>0</v>
      </c>
      <c r="AD173" s="280">
        <f t="shared" si="126"/>
        <v>0</v>
      </c>
      <c r="AE173" s="292" t="e">
        <f t="shared" si="86"/>
        <v>#DIV/0!</v>
      </c>
      <c r="AF173" s="287"/>
      <c r="AG173" s="288"/>
      <c r="AH173" s="293" t="e">
        <f t="shared" si="107"/>
        <v>#DIV/0!</v>
      </c>
      <c r="AI173" s="287"/>
      <c r="AJ173" s="288"/>
      <c r="AK173" s="294" t="e">
        <f t="shared" si="108"/>
        <v>#DIV/0!</v>
      </c>
      <c r="AL173" s="155"/>
      <c r="AM173" s="155"/>
      <c r="AN173" s="155" t="e">
        <f t="shared" si="129"/>
        <v>#DIV/0!</v>
      </c>
      <c r="AO173" s="300">
        <f t="shared" si="127"/>
        <v>0</v>
      </c>
      <c r="AP173" s="300">
        <f t="shared" si="127"/>
        <v>0</v>
      </c>
      <c r="AQ173" s="292" t="e">
        <f t="shared" si="95"/>
        <v>#DIV/0!</v>
      </c>
      <c r="AR173" s="287"/>
      <c r="AS173" s="287"/>
      <c r="AT173" s="295" t="e">
        <f t="shared" si="110"/>
        <v>#DIV/0!</v>
      </c>
      <c r="AU173" s="287"/>
      <c r="AV173" s="287"/>
      <c r="AW173" s="295" t="e">
        <f t="shared" si="111"/>
        <v>#DIV/0!</v>
      </c>
      <c r="AX173" s="287"/>
      <c r="AY173" s="288"/>
      <c r="AZ173" s="294" t="e">
        <f t="shared" si="112"/>
        <v>#DIV/0!</v>
      </c>
      <c r="BA173" s="280">
        <f t="shared" si="128"/>
        <v>0</v>
      </c>
      <c r="BB173" s="280">
        <f t="shared" si="128"/>
        <v>0</v>
      </c>
      <c r="BC173" s="292" t="e">
        <f t="shared" si="96"/>
        <v>#DIV/0!</v>
      </c>
      <c r="BD173" s="304">
        <f>I173+L173+O173+U173+X173+AA173+AG173+AJ173+AM173+AS173+AV173+AY173</f>
        <v>0</v>
      </c>
      <c r="BE173" s="296">
        <f t="shared" si="113"/>
        <v>0</v>
      </c>
      <c r="BF173" s="297">
        <f t="shared" si="119"/>
        <v>80000</v>
      </c>
    </row>
    <row r="174" spans="1:58" ht="13.5" thickBot="1">
      <c r="A174" s="298"/>
      <c r="B174" s="299"/>
      <c r="C174" s="299"/>
      <c r="D174" s="299"/>
      <c r="E174" s="403"/>
      <c r="F174" s="90"/>
      <c r="G174" s="287"/>
      <c r="H174" s="287"/>
      <c r="I174" s="304"/>
      <c r="J174" s="289"/>
      <c r="K174" s="302"/>
      <c r="L174" s="300"/>
      <c r="M174" s="291"/>
      <c r="N174" s="300"/>
      <c r="O174" s="300"/>
      <c r="P174" s="291"/>
      <c r="Q174" s="280"/>
      <c r="R174" s="280"/>
      <c r="S174" s="292"/>
      <c r="T174" s="287"/>
      <c r="U174" s="304"/>
      <c r="V174" s="291"/>
      <c r="W174" s="287"/>
      <c r="X174" s="304"/>
      <c r="Y174" s="291"/>
      <c r="Z174" s="287"/>
      <c r="AA174" s="304"/>
      <c r="AB174" s="291"/>
      <c r="AC174" s="280"/>
      <c r="AD174" s="280"/>
      <c r="AE174" s="292"/>
      <c r="AF174" s="287"/>
      <c r="AG174" s="304"/>
      <c r="AH174" s="293"/>
      <c r="AI174" s="287"/>
      <c r="AJ174" s="304"/>
      <c r="AK174" s="294"/>
      <c r="AL174" s="90"/>
      <c r="AM174" s="90"/>
      <c r="AN174" s="155"/>
      <c r="AO174" s="300"/>
      <c r="AP174" s="300"/>
      <c r="AQ174" s="292"/>
      <c r="AR174" s="300"/>
      <c r="AS174" s="300"/>
      <c r="AT174" s="295"/>
      <c r="AU174" s="300"/>
      <c r="AV174" s="300"/>
      <c r="AW174" s="295"/>
      <c r="AX174" s="300"/>
      <c r="AY174" s="304"/>
      <c r="AZ174" s="294"/>
      <c r="BA174" s="280"/>
      <c r="BB174" s="280"/>
      <c r="BC174" s="292"/>
      <c r="BD174" s="288"/>
      <c r="BE174" s="296"/>
      <c r="BF174" s="308"/>
    </row>
    <row r="175" spans="1:58" ht="22.5" thickBot="1">
      <c r="A175" s="286">
        <v>2</v>
      </c>
      <c r="B175" s="231">
        <v>6</v>
      </c>
      <c r="C175" s="231">
        <v>2</v>
      </c>
      <c r="D175" s="299"/>
      <c r="E175" s="403"/>
      <c r="F175" s="155" t="s">
        <v>68</v>
      </c>
      <c r="G175" s="287">
        <f>+G176</f>
        <v>25000</v>
      </c>
      <c r="H175" s="287">
        <f>+H176</f>
        <v>0</v>
      </c>
      <c r="I175" s="288">
        <f>+I176</f>
        <v>0</v>
      </c>
      <c r="J175" s="289" t="e">
        <f t="shared" si="101"/>
        <v>#DIV/0!</v>
      </c>
      <c r="K175" s="290">
        <f>+K176</f>
        <v>0</v>
      </c>
      <c r="L175" s="287">
        <f>+L176</f>
        <v>0</v>
      </c>
      <c r="M175" s="291" t="e">
        <f t="shared" si="102"/>
        <v>#DIV/0!</v>
      </c>
      <c r="N175" s="287">
        <f>+N176</f>
        <v>0</v>
      </c>
      <c r="O175" s="287">
        <f>+O176</f>
        <v>0</v>
      </c>
      <c r="P175" s="291" t="e">
        <f t="shared" si="103"/>
        <v>#DIV/0!</v>
      </c>
      <c r="Q175" s="287">
        <f>+Q176</f>
        <v>0</v>
      </c>
      <c r="R175" s="287">
        <f>+R176</f>
        <v>0</v>
      </c>
      <c r="S175" s="292" t="e">
        <f t="shared" si="120"/>
        <v>#DIV/0!</v>
      </c>
      <c r="T175" s="287">
        <f>+T176</f>
        <v>0</v>
      </c>
      <c r="U175" s="288">
        <f>+U176</f>
        <v>0</v>
      </c>
      <c r="V175" s="291" t="e">
        <f t="shared" si="104"/>
        <v>#DIV/0!</v>
      </c>
      <c r="W175" s="287">
        <f>+W176</f>
        <v>0</v>
      </c>
      <c r="X175" s="288">
        <f>+X176</f>
        <v>0</v>
      </c>
      <c r="Y175" s="291" t="e">
        <f t="shared" si="105"/>
        <v>#DIV/0!</v>
      </c>
      <c r="Z175" s="287">
        <f>+Z176</f>
        <v>0</v>
      </c>
      <c r="AA175" s="288">
        <f>+AA176</f>
        <v>0</v>
      </c>
      <c r="AB175" s="291" t="e">
        <f t="shared" si="106"/>
        <v>#DIV/0!</v>
      </c>
      <c r="AC175" s="287">
        <f>+AC176</f>
        <v>0</v>
      </c>
      <c r="AD175" s="287">
        <f>+AD176</f>
        <v>0</v>
      </c>
      <c r="AE175" s="292" t="e">
        <f>AD175/AC175</f>
        <v>#DIV/0!</v>
      </c>
      <c r="AF175" s="287">
        <f>+AF176</f>
        <v>0</v>
      </c>
      <c r="AG175" s="288">
        <f>+AG176</f>
        <v>0</v>
      </c>
      <c r="AH175" s="293" t="e">
        <f t="shared" si="107"/>
        <v>#DIV/0!</v>
      </c>
      <c r="AI175" s="287">
        <f>+AI176</f>
        <v>0</v>
      </c>
      <c r="AJ175" s="288">
        <f>+AJ176</f>
        <v>0</v>
      </c>
      <c r="AK175" s="294" t="e">
        <f t="shared" si="108"/>
        <v>#DIV/0!</v>
      </c>
      <c r="AL175" s="287">
        <f>+AL176</f>
        <v>0</v>
      </c>
      <c r="AM175" s="287">
        <f>+AM176</f>
        <v>0</v>
      </c>
      <c r="AN175" s="155" t="e">
        <f t="shared" si="129"/>
        <v>#DIV/0!</v>
      </c>
      <c r="AO175" s="287">
        <f>+AO176</f>
        <v>0</v>
      </c>
      <c r="AP175" s="287">
        <f>+AP176</f>
        <v>0</v>
      </c>
      <c r="AQ175" s="292" t="e">
        <f>AP175/AO175</f>
        <v>#DIV/0!</v>
      </c>
      <c r="AR175" s="287"/>
      <c r="AS175" s="287"/>
      <c r="AT175" s="295" t="e">
        <f t="shared" si="110"/>
        <v>#DIV/0!</v>
      </c>
      <c r="AU175" s="287"/>
      <c r="AV175" s="287"/>
      <c r="AW175" s="295" t="e">
        <f t="shared" si="111"/>
        <v>#DIV/0!</v>
      </c>
      <c r="AX175" s="287">
        <f>+AX176</f>
        <v>0</v>
      </c>
      <c r="AY175" s="288">
        <f>+AY176</f>
        <v>0</v>
      </c>
      <c r="AZ175" s="294" t="e">
        <f t="shared" si="112"/>
        <v>#DIV/0!</v>
      </c>
      <c r="BA175" s="287">
        <f>+BA176</f>
        <v>0</v>
      </c>
      <c r="BB175" s="287">
        <f>+BB176</f>
        <v>0</v>
      </c>
      <c r="BC175" s="292" t="e">
        <f>BB175/BA175</f>
        <v>#DIV/0!</v>
      </c>
      <c r="BD175" s="288">
        <f>+BD176</f>
        <v>0</v>
      </c>
      <c r="BE175" s="296">
        <f t="shared" si="113"/>
        <v>0</v>
      </c>
      <c r="BF175" s="297">
        <f>G175-(I175+L175+O175+U175+X175+AA175+AG175+AJ175+AM175+AS175+AV175+AY175)</f>
        <v>25000</v>
      </c>
    </row>
    <row r="176" spans="1:58" ht="13.5" thickBot="1">
      <c r="A176" s="286">
        <v>2</v>
      </c>
      <c r="B176" s="231">
        <v>6</v>
      </c>
      <c r="C176" s="231">
        <v>2</v>
      </c>
      <c r="D176" s="231">
        <v>3</v>
      </c>
      <c r="E176" s="401"/>
      <c r="F176" s="155" t="s">
        <v>118</v>
      </c>
      <c r="G176" s="287">
        <v>25000</v>
      </c>
      <c r="H176" s="287"/>
      <c r="I176" s="288"/>
      <c r="J176" s="289" t="e">
        <f t="shared" si="101"/>
        <v>#DIV/0!</v>
      </c>
      <c r="K176" s="290"/>
      <c r="L176" s="287"/>
      <c r="M176" s="291" t="e">
        <f t="shared" si="102"/>
        <v>#DIV/0!</v>
      </c>
      <c r="N176" s="287"/>
      <c r="O176" s="287"/>
      <c r="P176" s="291" t="e">
        <f t="shared" si="103"/>
        <v>#DIV/0!</v>
      </c>
      <c r="Q176" s="280">
        <f>N176+K176+H176</f>
        <v>0</v>
      </c>
      <c r="R176" s="280">
        <f>O176+L176+I176</f>
        <v>0</v>
      </c>
      <c r="S176" s="292" t="e">
        <f t="shared" si="120"/>
        <v>#DIV/0!</v>
      </c>
      <c r="T176" s="287"/>
      <c r="U176" s="288"/>
      <c r="V176" s="291" t="e">
        <f t="shared" si="104"/>
        <v>#DIV/0!</v>
      </c>
      <c r="W176" s="287"/>
      <c r="X176" s="288"/>
      <c r="Y176" s="291" t="e">
        <f t="shared" si="105"/>
        <v>#DIV/0!</v>
      </c>
      <c r="Z176" s="287"/>
      <c r="AA176" s="288"/>
      <c r="AB176" s="291" t="e">
        <f t="shared" si="106"/>
        <v>#DIV/0!</v>
      </c>
      <c r="AC176" s="280">
        <f>Z176+W176+T176</f>
        <v>0</v>
      </c>
      <c r="AD176" s="280">
        <f>AA176+X176+U176</f>
        <v>0</v>
      </c>
      <c r="AE176" s="292" t="e">
        <f>AD176/AC176</f>
        <v>#DIV/0!</v>
      </c>
      <c r="AF176" s="287"/>
      <c r="AG176" s="288"/>
      <c r="AH176" s="293" t="e">
        <f t="shared" si="107"/>
        <v>#DIV/0!</v>
      </c>
      <c r="AI176" s="287"/>
      <c r="AJ176" s="288"/>
      <c r="AK176" s="294" t="e">
        <f t="shared" si="108"/>
        <v>#DIV/0!</v>
      </c>
      <c r="AL176" s="155"/>
      <c r="AM176" s="155"/>
      <c r="AN176" s="155" t="e">
        <f t="shared" si="129"/>
        <v>#DIV/0!</v>
      </c>
      <c r="AO176" s="300">
        <f>AL176+AI176+AF176</f>
        <v>0</v>
      </c>
      <c r="AP176" s="300">
        <f>AM176+AJ176+AG176</f>
        <v>0</v>
      </c>
      <c r="AQ176" s="292" t="e">
        <f>AP176/AO176</f>
        <v>#DIV/0!</v>
      </c>
      <c r="AR176" s="287"/>
      <c r="AS176" s="287"/>
      <c r="AT176" s="295" t="e">
        <f t="shared" si="110"/>
        <v>#DIV/0!</v>
      </c>
      <c r="AU176" s="287"/>
      <c r="AV176" s="287"/>
      <c r="AW176" s="295" t="e">
        <f t="shared" si="111"/>
        <v>#DIV/0!</v>
      </c>
      <c r="AX176" s="287"/>
      <c r="AY176" s="288"/>
      <c r="AZ176" s="294" t="e">
        <f t="shared" si="112"/>
        <v>#DIV/0!</v>
      </c>
      <c r="BA176" s="280">
        <f>AX176+AU176+AR176</f>
        <v>0</v>
      </c>
      <c r="BB176" s="280">
        <f>AY176+AV176+AS176</f>
        <v>0</v>
      </c>
      <c r="BC176" s="292" t="e">
        <f>BB176/BA176</f>
        <v>#DIV/0!</v>
      </c>
      <c r="BD176" s="304">
        <f>I176+L176+O176+U176+X176+AA176+AG176+AJ176+AM176+AS176+AV176+AY176</f>
        <v>0</v>
      </c>
      <c r="BE176" s="296">
        <f t="shared" si="113"/>
        <v>0</v>
      </c>
      <c r="BF176" s="297">
        <f>G176-(I176+L176+O176+U176+X176+AA176+AG176+AJ176+AM176+AS176+AV176+AY176)</f>
        <v>25000</v>
      </c>
    </row>
    <row r="177" spans="1:58" ht="13.5" thickBot="1">
      <c r="A177" s="298"/>
      <c r="B177" s="299"/>
      <c r="C177" s="299"/>
      <c r="D177" s="299"/>
      <c r="E177" s="403"/>
      <c r="F177" s="90"/>
      <c r="G177" s="300"/>
      <c r="H177" s="300"/>
      <c r="I177" s="304"/>
      <c r="J177" s="289"/>
      <c r="K177" s="302"/>
      <c r="L177" s="300"/>
      <c r="M177" s="291"/>
      <c r="N177" s="300"/>
      <c r="O177" s="300"/>
      <c r="P177" s="291"/>
      <c r="Q177" s="280"/>
      <c r="R177" s="280"/>
      <c r="S177" s="292"/>
      <c r="T177" s="300"/>
      <c r="U177" s="304"/>
      <c r="V177" s="291"/>
      <c r="W177" s="300"/>
      <c r="X177" s="304"/>
      <c r="Y177" s="291"/>
      <c r="Z177" s="300"/>
      <c r="AA177" s="304"/>
      <c r="AB177" s="291"/>
      <c r="AC177" s="280"/>
      <c r="AD177" s="280"/>
      <c r="AE177" s="292"/>
      <c r="AF177" s="300"/>
      <c r="AG177" s="304"/>
      <c r="AH177" s="293"/>
      <c r="AI177" s="300"/>
      <c r="AJ177" s="304"/>
      <c r="AK177" s="294"/>
      <c r="AL177" s="90"/>
      <c r="AM177" s="90"/>
      <c r="AN177" s="155"/>
      <c r="AO177" s="300"/>
      <c r="AP177" s="300"/>
      <c r="AQ177" s="292"/>
      <c r="AR177" s="300"/>
      <c r="AS177" s="300"/>
      <c r="AT177" s="295"/>
      <c r="AU177" s="300"/>
      <c r="AV177" s="300"/>
      <c r="AW177" s="295"/>
      <c r="AX177" s="300"/>
      <c r="AY177" s="304"/>
      <c r="AZ177" s="294"/>
      <c r="BA177" s="280"/>
      <c r="BB177" s="280"/>
      <c r="BC177" s="292"/>
      <c r="BD177" s="304"/>
      <c r="BE177" s="296"/>
      <c r="BF177" s="308"/>
    </row>
    <row r="178" spans="1:58" ht="22.5" thickBot="1">
      <c r="A178" s="286">
        <v>2</v>
      </c>
      <c r="B178" s="231">
        <v>6</v>
      </c>
      <c r="C178" s="231">
        <v>5</v>
      </c>
      <c r="D178" s="299"/>
      <c r="E178" s="403"/>
      <c r="F178" s="155" t="s">
        <v>110</v>
      </c>
      <c r="G178" s="287">
        <f>G179</f>
        <v>50000</v>
      </c>
      <c r="H178" s="287">
        <f>H179</f>
        <v>0</v>
      </c>
      <c r="I178" s="288">
        <f>I179</f>
        <v>0</v>
      </c>
      <c r="J178" s="289" t="e">
        <f t="shared" si="101"/>
        <v>#DIV/0!</v>
      </c>
      <c r="K178" s="290">
        <f>K179</f>
        <v>0</v>
      </c>
      <c r="L178" s="287">
        <f>L179</f>
        <v>0</v>
      </c>
      <c r="M178" s="291" t="e">
        <f t="shared" si="102"/>
        <v>#DIV/0!</v>
      </c>
      <c r="N178" s="287">
        <f>N179</f>
        <v>0</v>
      </c>
      <c r="O178" s="287">
        <f>O179</f>
        <v>0</v>
      </c>
      <c r="P178" s="291" t="e">
        <f t="shared" si="103"/>
        <v>#DIV/0!</v>
      </c>
      <c r="Q178" s="287">
        <f>Q179</f>
        <v>0</v>
      </c>
      <c r="R178" s="287">
        <f>R179</f>
        <v>0</v>
      </c>
      <c r="S178" s="292" t="e">
        <f t="shared" si="120"/>
        <v>#DIV/0!</v>
      </c>
      <c r="T178" s="287">
        <f>T179</f>
        <v>0</v>
      </c>
      <c r="U178" s="288">
        <f>U179</f>
        <v>0</v>
      </c>
      <c r="V178" s="291" t="e">
        <f t="shared" si="104"/>
        <v>#DIV/0!</v>
      </c>
      <c r="W178" s="287">
        <f>W179</f>
        <v>0</v>
      </c>
      <c r="X178" s="288">
        <f>X179</f>
        <v>0</v>
      </c>
      <c r="Y178" s="291" t="e">
        <f t="shared" si="105"/>
        <v>#DIV/0!</v>
      </c>
      <c r="Z178" s="287">
        <f>Z179</f>
        <v>0</v>
      </c>
      <c r="AA178" s="288">
        <f>AA179</f>
        <v>0</v>
      </c>
      <c r="AB178" s="291" t="e">
        <f t="shared" si="106"/>
        <v>#DIV/0!</v>
      </c>
      <c r="AC178" s="287">
        <f>AC179</f>
        <v>0</v>
      </c>
      <c r="AD178" s="287">
        <f>AD179</f>
        <v>0</v>
      </c>
      <c r="AE178" s="292" t="e">
        <f>AD178/AC178</f>
        <v>#DIV/0!</v>
      </c>
      <c r="AF178" s="287">
        <f>AF179</f>
        <v>0</v>
      </c>
      <c r="AG178" s="288">
        <f>AG179</f>
        <v>0</v>
      </c>
      <c r="AH178" s="293" t="e">
        <f t="shared" si="107"/>
        <v>#DIV/0!</v>
      </c>
      <c r="AI178" s="287">
        <f>AI179</f>
        <v>0</v>
      </c>
      <c r="AJ178" s="288">
        <f>AJ179</f>
        <v>0</v>
      </c>
      <c r="AK178" s="294" t="e">
        <f t="shared" si="108"/>
        <v>#DIV/0!</v>
      </c>
      <c r="AL178" s="287">
        <f>AL179</f>
        <v>0</v>
      </c>
      <c r="AM178" s="287">
        <f>AM179</f>
        <v>0</v>
      </c>
      <c r="AN178" s="155" t="e">
        <f t="shared" si="129"/>
        <v>#DIV/0!</v>
      </c>
      <c r="AO178" s="287">
        <f>AO179</f>
        <v>0</v>
      </c>
      <c r="AP178" s="287">
        <f>AP179</f>
        <v>0</v>
      </c>
      <c r="AQ178" s="292" t="e">
        <f>AP178/AO178</f>
        <v>#DIV/0!</v>
      </c>
      <c r="AR178" s="287"/>
      <c r="AS178" s="287"/>
      <c r="AT178" s="295" t="e">
        <f t="shared" si="110"/>
        <v>#DIV/0!</v>
      </c>
      <c r="AU178" s="287"/>
      <c r="AV178" s="287"/>
      <c r="AW178" s="295" t="e">
        <f t="shared" si="111"/>
        <v>#DIV/0!</v>
      </c>
      <c r="AX178" s="287">
        <f>AX179</f>
        <v>0</v>
      </c>
      <c r="AY178" s="288">
        <f>AY179</f>
        <v>0</v>
      </c>
      <c r="AZ178" s="294" t="e">
        <f t="shared" si="112"/>
        <v>#DIV/0!</v>
      </c>
      <c r="BA178" s="287">
        <f>BA179</f>
        <v>0</v>
      </c>
      <c r="BB178" s="287">
        <f>BB179</f>
        <v>0</v>
      </c>
      <c r="BC178" s="292" t="e">
        <f>BB178/BA178</f>
        <v>#DIV/0!</v>
      </c>
      <c r="BD178" s="288">
        <f>BD179</f>
        <v>0</v>
      </c>
      <c r="BE178" s="296">
        <f t="shared" si="113"/>
        <v>0</v>
      </c>
      <c r="BF178" s="297">
        <f>G178-(I178+L178+O178+U178+X178+AA178+AG178+AJ178+AM178+AS178+AV178+AY178)</f>
        <v>50000</v>
      </c>
    </row>
    <row r="179" spans="1:58" ht="22.5" thickBot="1">
      <c r="A179" s="286">
        <v>2</v>
      </c>
      <c r="B179" s="231">
        <v>6</v>
      </c>
      <c r="C179" s="231">
        <v>5</v>
      </c>
      <c r="D179" s="231">
        <v>4</v>
      </c>
      <c r="E179" s="401"/>
      <c r="F179" s="155" t="s">
        <v>111</v>
      </c>
      <c r="G179" s="287">
        <v>50000</v>
      </c>
      <c r="H179" s="287"/>
      <c r="I179" s="288"/>
      <c r="J179" s="289" t="e">
        <f t="shared" si="101"/>
        <v>#DIV/0!</v>
      </c>
      <c r="K179" s="290"/>
      <c r="L179" s="287"/>
      <c r="M179" s="291" t="e">
        <f t="shared" si="102"/>
        <v>#DIV/0!</v>
      </c>
      <c r="N179" s="287"/>
      <c r="O179" s="287"/>
      <c r="P179" s="291" t="e">
        <f t="shared" si="103"/>
        <v>#DIV/0!</v>
      </c>
      <c r="Q179" s="280">
        <f>N179+K179+H179</f>
        <v>0</v>
      </c>
      <c r="R179" s="280">
        <f>O179+L179+I179</f>
        <v>0</v>
      </c>
      <c r="S179" s="292" t="e">
        <f t="shared" si="120"/>
        <v>#DIV/0!</v>
      </c>
      <c r="T179" s="287"/>
      <c r="U179" s="288"/>
      <c r="V179" s="291" t="e">
        <f t="shared" si="104"/>
        <v>#DIV/0!</v>
      </c>
      <c r="W179" s="287"/>
      <c r="X179" s="288"/>
      <c r="Y179" s="291" t="e">
        <f t="shared" si="105"/>
        <v>#DIV/0!</v>
      </c>
      <c r="Z179" s="287"/>
      <c r="AA179" s="288"/>
      <c r="AB179" s="291" t="e">
        <f t="shared" si="106"/>
        <v>#DIV/0!</v>
      </c>
      <c r="AC179" s="280">
        <f>Z179+W179+T179</f>
        <v>0</v>
      </c>
      <c r="AD179" s="280">
        <f>AA179+X179+U179</f>
        <v>0</v>
      </c>
      <c r="AE179" s="292" t="e">
        <f>AD179/AC179</f>
        <v>#DIV/0!</v>
      </c>
      <c r="AF179" s="287"/>
      <c r="AG179" s="288"/>
      <c r="AH179" s="293" t="e">
        <f t="shared" si="107"/>
        <v>#DIV/0!</v>
      </c>
      <c r="AI179" s="287"/>
      <c r="AJ179" s="288"/>
      <c r="AK179" s="294" t="e">
        <f t="shared" si="108"/>
        <v>#DIV/0!</v>
      </c>
      <c r="AL179" s="155"/>
      <c r="AM179" s="155"/>
      <c r="AN179" s="155" t="e">
        <f t="shared" si="129"/>
        <v>#DIV/0!</v>
      </c>
      <c r="AO179" s="300">
        <f>AL179+AI179+AF179</f>
        <v>0</v>
      </c>
      <c r="AP179" s="300">
        <f>AM179+AJ179+AG179</f>
        <v>0</v>
      </c>
      <c r="AQ179" s="292" t="e">
        <f>AP179/AO179</f>
        <v>#DIV/0!</v>
      </c>
      <c r="AR179" s="287"/>
      <c r="AS179" s="287"/>
      <c r="AT179" s="295" t="e">
        <f t="shared" si="110"/>
        <v>#DIV/0!</v>
      </c>
      <c r="AU179" s="287"/>
      <c r="AV179" s="287"/>
      <c r="AW179" s="295" t="e">
        <f t="shared" si="111"/>
        <v>#DIV/0!</v>
      </c>
      <c r="AX179" s="287"/>
      <c r="AY179" s="288"/>
      <c r="AZ179" s="294" t="e">
        <f t="shared" si="112"/>
        <v>#DIV/0!</v>
      </c>
      <c r="BA179" s="280">
        <f>AX179+AU179+AR179</f>
        <v>0</v>
      </c>
      <c r="BB179" s="280">
        <f>AY179+AV179+AS179</f>
        <v>0</v>
      </c>
      <c r="BC179" s="292" t="e">
        <f>BB179/BA179</f>
        <v>#DIV/0!</v>
      </c>
      <c r="BD179" s="304">
        <f>I179+L179+O179+U179+X179+AA179+AG179+AJ179+AM179+AS179+AV179+AY179</f>
        <v>0</v>
      </c>
      <c r="BE179" s="296">
        <f t="shared" si="113"/>
        <v>0</v>
      </c>
      <c r="BF179" s="297">
        <f>G179-(I179+L179+O179+U179+X179+AA179+AG179+AJ179+AM179+AS179+AV179+AY179)</f>
        <v>50000</v>
      </c>
    </row>
    <row r="180" spans="1:58" ht="13.5" thickBot="1">
      <c r="A180" s="298"/>
      <c r="B180" s="299"/>
      <c r="C180" s="299"/>
      <c r="D180" s="299"/>
      <c r="E180" s="403"/>
      <c r="F180" s="90"/>
      <c r="G180" s="300"/>
      <c r="H180" s="300"/>
      <c r="I180" s="304"/>
      <c r="J180" s="289"/>
      <c r="K180" s="302"/>
      <c r="L180" s="300"/>
      <c r="M180" s="291"/>
      <c r="N180" s="300"/>
      <c r="O180" s="300"/>
      <c r="P180" s="291"/>
      <c r="Q180" s="280"/>
      <c r="R180" s="280"/>
      <c r="S180" s="292"/>
      <c r="T180" s="300"/>
      <c r="U180" s="304"/>
      <c r="V180" s="291"/>
      <c r="W180" s="300"/>
      <c r="X180" s="304"/>
      <c r="Y180" s="291"/>
      <c r="Z180" s="300"/>
      <c r="AA180" s="304"/>
      <c r="AB180" s="291"/>
      <c r="AC180" s="280"/>
      <c r="AD180" s="280"/>
      <c r="AE180" s="292"/>
      <c r="AF180" s="300"/>
      <c r="AG180" s="304"/>
      <c r="AH180" s="293"/>
      <c r="AI180" s="300"/>
      <c r="AJ180" s="304"/>
      <c r="AK180" s="294"/>
      <c r="AL180" s="90"/>
      <c r="AM180" s="90"/>
      <c r="AN180" s="155"/>
      <c r="AO180" s="300"/>
      <c r="AP180" s="300"/>
      <c r="AQ180" s="292"/>
      <c r="AR180" s="300"/>
      <c r="AS180" s="300"/>
      <c r="AT180" s="295"/>
      <c r="AU180" s="300"/>
      <c r="AV180" s="300"/>
      <c r="AW180" s="295"/>
      <c r="AX180" s="300"/>
      <c r="AY180" s="304"/>
      <c r="AZ180" s="294"/>
      <c r="BA180" s="280"/>
      <c r="BB180" s="280"/>
      <c r="BC180" s="292"/>
      <c r="BD180" s="304"/>
      <c r="BE180" s="296"/>
      <c r="BF180" s="308"/>
    </row>
    <row r="181" spans="1:58" ht="13.5" thickBot="1">
      <c r="A181" s="286">
        <v>2</v>
      </c>
      <c r="B181" s="231">
        <v>6</v>
      </c>
      <c r="C181" s="231">
        <v>8</v>
      </c>
      <c r="D181" s="299"/>
      <c r="E181" s="403"/>
      <c r="F181" s="155" t="s">
        <v>69</v>
      </c>
      <c r="G181" s="287">
        <f>+G182+G183+G186+G187</f>
        <v>544285</v>
      </c>
      <c r="H181" s="287">
        <f>+H182+H183+H186+H187</f>
        <v>0</v>
      </c>
      <c r="I181" s="288">
        <f>+I182+I183+I186+I187</f>
        <v>0</v>
      </c>
      <c r="J181" s="289" t="e">
        <f t="shared" si="101"/>
        <v>#DIV/0!</v>
      </c>
      <c r="K181" s="290">
        <f>+K182+K183+K186+K187</f>
        <v>0</v>
      </c>
      <c r="L181" s="287">
        <f>+L182+L183+L186+L187</f>
        <v>0</v>
      </c>
      <c r="M181" s="291" t="e">
        <f t="shared" si="102"/>
        <v>#DIV/0!</v>
      </c>
      <c r="N181" s="287">
        <f>+N182+N183+N186+N187</f>
        <v>0</v>
      </c>
      <c r="O181" s="287">
        <f>+O182+O183+O186+O187</f>
        <v>180000</v>
      </c>
      <c r="P181" s="291" t="e">
        <f t="shared" si="103"/>
        <v>#DIV/0!</v>
      </c>
      <c r="Q181" s="290">
        <f>+Q182+Q183+Q186+Q187</f>
        <v>0</v>
      </c>
      <c r="R181" s="287">
        <f>+R182+R183+R186+R187</f>
        <v>180000</v>
      </c>
      <c r="S181" s="292" t="e">
        <f t="shared" si="120"/>
        <v>#DIV/0!</v>
      </c>
      <c r="T181" s="287">
        <f>+T182+T183+T186+T187</f>
        <v>0</v>
      </c>
      <c r="U181" s="288">
        <f>+U182+U183+U186+U187</f>
        <v>0</v>
      </c>
      <c r="V181" s="291" t="e">
        <f t="shared" si="104"/>
        <v>#DIV/0!</v>
      </c>
      <c r="W181" s="287">
        <f>+W182+W183+W186+W187</f>
        <v>0</v>
      </c>
      <c r="X181" s="288">
        <f>+X182+X183+X186+X187</f>
        <v>0</v>
      </c>
      <c r="Y181" s="291" t="e">
        <f t="shared" si="105"/>
        <v>#DIV/0!</v>
      </c>
      <c r="Z181" s="287">
        <f>+Z182+Z183+Z186+Z187</f>
        <v>0</v>
      </c>
      <c r="AA181" s="288">
        <f>+AA182+AA183+AA186+AA187</f>
        <v>0</v>
      </c>
      <c r="AB181" s="291" t="e">
        <f t="shared" si="106"/>
        <v>#DIV/0!</v>
      </c>
      <c r="AC181" s="290">
        <f>+AC182+AC183+AC186+AC187</f>
        <v>0</v>
      </c>
      <c r="AD181" s="287">
        <f>+AD182+AD183+AD186+AD187</f>
        <v>0</v>
      </c>
      <c r="AE181" s="292" t="e">
        <f aca="true" t="shared" si="130" ref="AE181:AE189">AD181/AC181</f>
        <v>#DIV/0!</v>
      </c>
      <c r="AF181" s="287">
        <f>+AF182+AF183+AF186+AF187</f>
        <v>0</v>
      </c>
      <c r="AG181" s="288">
        <f>+AG182+AG183+AG186+AG187</f>
        <v>0</v>
      </c>
      <c r="AH181" s="293" t="e">
        <f t="shared" si="107"/>
        <v>#DIV/0!</v>
      </c>
      <c r="AI181" s="287">
        <f>+AI182+AI183+AI186+AI187</f>
        <v>0</v>
      </c>
      <c r="AJ181" s="288">
        <f>+AJ182+AJ183+AJ186+AJ187</f>
        <v>0</v>
      </c>
      <c r="AK181" s="294" t="e">
        <f t="shared" si="108"/>
        <v>#DIV/0!</v>
      </c>
      <c r="AL181" s="287">
        <f>+AL182+AL183+AL186+AL187</f>
        <v>0</v>
      </c>
      <c r="AM181" s="287">
        <f>+AM182+AM183+AM186+AM187</f>
        <v>0</v>
      </c>
      <c r="AN181" s="155" t="e">
        <f t="shared" si="129"/>
        <v>#DIV/0!</v>
      </c>
      <c r="AO181" s="290">
        <f>+AO182+AO183+AO186+AO187</f>
        <v>0</v>
      </c>
      <c r="AP181" s="287">
        <f>+AP182+AP183+AP186+AP187</f>
        <v>0</v>
      </c>
      <c r="AQ181" s="292" t="e">
        <f aca="true" t="shared" si="131" ref="AQ181:AQ189">AP181/AO181</f>
        <v>#DIV/0!</v>
      </c>
      <c r="AR181" s="287"/>
      <c r="AS181" s="287"/>
      <c r="AT181" s="295" t="e">
        <f t="shared" si="110"/>
        <v>#DIV/0!</v>
      </c>
      <c r="AU181" s="287"/>
      <c r="AV181" s="287"/>
      <c r="AW181" s="295" t="e">
        <f t="shared" si="111"/>
        <v>#DIV/0!</v>
      </c>
      <c r="AX181" s="287">
        <f>+AX182+AX183+AX186+AX187</f>
        <v>0</v>
      </c>
      <c r="AY181" s="288">
        <f>+AY182+AY183+AY186+AY187</f>
        <v>0</v>
      </c>
      <c r="AZ181" s="294" t="e">
        <f t="shared" si="112"/>
        <v>#DIV/0!</v>
      </c>
      <c r="BA181" s="290">
        <f>+BA182+BA183+BA186+BA187</f>
        <v>0</v>
      </c>
      <c r="BB181" s="287">
        <f>+BB182+BB183+BB186+BB187</f>
        <v>0</v>
      </c>
      <c r="BC181" s="292" t="e">
        <f aca="true" t="shared" si="132" ref="BC181:BC189">BB181/BA181</f>
        <v>#DIV/0!</v>
      </c>
      <c r="BD181" s="288">
        <f>+BD182+BD183+BD186+BD187</f>
        <v>180000</v>
      </c>
      <c r="BE181" s="296">
        <f t="shared" si="113"/>
        <v>0.33070909541876037</v>
      </c>
      <c r="BF181" s="297">
        <f aca="true" t="shared" si="133" ref="BF181:BF188">G181-(I181+L181+O181+U181+X181+AA181+AG181+AJ181+AM181+AS181+AV181+AY181)</f>
        <v>364285</v>
      </c>
    </row>
    <row r="182" spans="1:58" ht="13.5" thickBot="1">
      <c r="A182" s="286">
        <v>2</v>
      </c>
      <c r="B182" s="231">
        <v>6</v>
      </c>
      <c r="C182" s="231">
        <v>8</v>
      </c>
      <c r="D182" s="231">
        <v>1</v>
      </c>
      <c r="E182" s="401"/>
      <c r="F182" s="155" t="s">
        <v>112</v>
      </c>
      <c r="G182" s="287">
        <v>258635</v>
      </c>
      <c r="H182" s="287"/>
      <c r="I182" s="288"/>
      <c r="J182" s="289" t="e">
        <f t="shared" si="101"/>
        <v>#DIV/0!</v>
      </c>
      <c r="K182" s="290"/>
      <c r="L182" s="287"/>
      <c r="M182" s="291" t="e">
        <f t="shared" si="102"/>
        <v>#DIV/0!</v>
      </c>
      <c r="N182" s="287"/>
      <c r="O182" s="287"/>
      <c r="P182" s="291" t="e">
        <f t="shared" si="103"/>
        <v>#DIV/0!</v>
      </c>
      <c r="Q182" s="280">
        <f>N182+K182+H182</f>
        <v>0</v>
      </c>
      <c r="R182" s="280">
        <f>O182+L182+I182</f>
        <v>0</v>
      </c>
      <c r="S182" s="292" t="e">
        <f t="shared" si="120"/>
        <v>#DIV/0!</v>
      </c>
      <c r="T182" s="287"/>
      <c r="U182" s="288"/>
      <c r="V182" s="291" t="e">
        <f t="shared" si="104"/>
        <v>#DIV/0!</v>
      </c>
      <c r="W182" s="287"/>
      <c r="X182" s="288"/>
      <c r="Y182" s="291" t="e">
        <f t="shared" si="105"/>
        <v>#DIV/0!</v>
      </c>
      <c r="Z182" s="287"/>
      <c r="AA182" s="288"/>
      <c r="AB182" s="291" t="e">
        <f t="shared" si="106"/>
        <v>#DIV/0!</v>
      </c>
      <c r="AC182" s="280">
        <f>Z182+W182+T182</f>
        <v>0</v>
      </c>
      <c r="AD182" s="280">
        <f>AA182+X182+U182</f>
        <v>0</v>
      </c>
      <c r="AE182" s="292" t="e">
        <f t="shared" si="130"/>
        <v>#DIV/0!</v>
      </c>
      <c r="AF182" s="287"/>
      <c r="AG182" s="288"/>
      <c r="AH182" s="293" t="e">
        <f t="shared" si="107"/>
        <v>#DIV/0!</v>
      </c>
      <c r="AI182" s="287"/>
      <c r="AJ182" s="288"/>
      <c r="AK182" s="294" t="e">
        <f t="shared" si="108"/>
        <v>#DIV/0!</v>
      </c>
      <c r="AL182" s="155"/>
      <c r="AM182" s="155"/>
      <c r="AN182" s="155" t="e">
        <f t="shared" si="129"/>
        <v>#DIV/0!</v>
      </c>
      <c r="AO182" s="300">
        <f>AL182+AI182+AF182</f>
        <v>0</v>
      </c>
      <c r="AP182" s="300">
        <f>AM182+AJ182+AG182</f>
        <v>0</v>
      </c>
      <c r="AQ182" s="292" t="e">
        <f t="shared" si="131"/>
        <v>#DIV/0!</v>
      </c>
      <c r="AR182" s="287"/>
      <c r="AS182" s="287"/>
      <c r="AT182" s="295" t="e">
        <f t="shared" si="110"/>
        <v>#DIV/0!</v>
      </c>
      <c r="AU182" s="287"/>
      <c r="AV182" s="287"/>
      <c r="AW182" s="295" t="e">
        <f t="shared" si="111"/>
        <v>#DIV/0!</v>
      </c>
      <c r="AX182" s="287"/>
      <c r="AY182" s="288"/>
      <c r="AZ182" s="294" t="e">
        <f t="shared" si="112"/>
        <v>#DIV/0!</v>
      </c>
      <c r="BA182" s="280">
        <f>AX182+AU182+AR182</f>
        <v>0</v>
      </c>
      <c r="BB182" s="280">
        <f>AY182+AV182+AS182</f>
        <v>0</v>
      </c>
      <c r="BC182" s="292" t="e">
        <f t="shared" si="132"/>
        <v>#DIV/0!</v>
      </c>
      <c r="BD182" s="304">
        <f>I182+L182+O182+U182+X182+AA182+AG182+AJ182+AM182+AS182+AV182+AY182</f>
        <v>0</v>
      </c>
      <c r="BE182" s="296">
        <f t="shared" si="113"/>
        <v>0</v>
      </c>
      <c r="BF182" s="297">
        <f t="shared" si="133"/>
        <v>258635</v>
      </c>
    </row>
    <row r="183" spans="1:58" ht="13.5" thickBot="1">
      <c r="A183" s="286">
        <v>2</v>
      </c>
      <c r="B183" s="231">
        <v>6</v>
      </c>
      <c r="C183" s="231">
        <v>8</v>
      </c>
      <c r="D183" s="231">
        <v>3</v>
      </c>
      <c r="E183" s="401"/>
      <c r="F183" s="155" t="s">
        <v>117</v>
      </c>
      <c r="G183" s="287">
        <f>G184+G185</f>
        <v>185650</v>
      </c>
      <c r="H183" s="287">
        <f>H184+H185</f>
        <v>0</v>
      </c>
      <c r="I183" s="288">
        <f>I184+I185</f>
        <v>0</v>
      </c>
      <c r="J183" s="289" t="e">
        <f t="shared" si="101"/>
        <v>#DIV/0!</v>
      </c>
      <c r="K183" s="290">
        <f>K184+K185</f>
        <v>0</v>
      </c>
      <c r="L183" s="287">
        <f>L184+L185</f>
        <v>0</v>
      </c>
      <c r="M183" s="291" t="e">
        <f t="shared" si="102"/>
        <v>#DIV/0!</v>
      </c>
      <c r="N183" s="287">
        <f>N184+N185</f>
        <v>0</v>
      </c>
      <c r="O183" s="287">
        <f>O184+O185</f>
        <v>0</v>
      </c>
      <c r="P183" s="291" t="e">
        <f t="shared" si="103"/>
        <v>#DIV/0!</v>
      </c>
      <c r="Q183" s="287">
        <f>Q184+Q185</f>
        <v>0</v>
      </c>
      <c r="R183" s="287">
        <f>R184+R185</f>
        <v>0</v>
      </c>
      <c r="S183" s="292" t="e">
        <f t="shared" si="120"/>
        <v>#DIV/0!</v>
      </c>
      <c r="T183" s="287">
        <f>T184+T185</f>
        <v>0</v>
      </c>
      <c r="U183" s="288">
        <f>U184+U185</f>
        <v>0</v>
      </c>
      <c r="V183" s="291" t="e">
        <f t="shared" si="104"/>
        <v>#DIV/0!</v>
      </c>
      <c r="W183" s="287">
        <f>W184+W185</f>
        <v>0</v>
      </c>
      <c r="X183" s="288">
        <f>X184+X185</f>
        <v>0</v>
      </c>
      <c r="Y183" s="291" t="e">
        <f t="shared" si="105"/>
        <v>#DIV/0!</v>
      </c>
      <c r="Z183" s="287">
        <f>Z184+Z185</f>
        <v>0</v>
      </c>
      <c r="AA183" s="288">
        <f>AA184+AA185</f>
        <v>0</v>
      </c>
      <c r="AB183" s="291" t="e">
        <f t="shared" si="106"/>
        <v>#DIV/0!</v>
      </c>
      <c r="AC183" s="287">
        <f>AC184+AC185</f>
        <v>0</v>
      </c>
      <c r="AD183" s="287">
        <f>AD184+AD185</f>
        <v>0</v>
      </c>
      <c r="AE183" s="292" t="e">
        <f t="shared" si="130"/>
        <v>#DIV/0!</v>
      </c>
      <c r="AF183" s="287">
        <f>AF184+AF185</f>
        <v>0</v>
      </c>
      <c r="AG183" s="288">
        <f>AG184+AG185</f>
        <v>0</v>
      </c>
      <c r="AH183" s="293" t="e">
        <f t="shared" si="107"/>
        <v>#DIV/0!</v>
      </c>
      <c r="AI183" s="287">
        <f>AI184+AI185</f>
        <v>0</v>
      </c>
      <c r="AJ183" s="288">
        <f>AJ184+AJ185</f>
        <v>0</v>
      </c>
      <c r="AK183" s="294" t="e">
        <f t="shared" si="108"/>
        <v>#DIV/0!</v>
      </c>
      <c r="AL183" s="287">
        <f>AL184+AL185</f>
        <v>0</v>
      </c>
      <c r="AM183" s="287">
        <f>AM184+AM185</f>
        <v>0</v>
      </c>
      <c r="AN183" s="155" t="e">
        <f t="shared" si="129"/>
        <v>#DIV/0!</v>
      </c>
      <c r="AO183" s="287">
        <f>AO184+AO185</f>
        <v>0</v>
      </c>
      <c r="AP183" s="287">
        <f>AP184+AP185</f>
        <v>0</v>
      </c>
      <c r="AQ183" s="292" t="e">
        <f t="shared" si="131"/>
        <v>#DIV/0!</v>
      </c>
      <c r="AR183" s="287"/>
      <c r="AS183" s="287"/>
      <c r="AT183" s="295" t="e">
        <f t="shared" si="110"/>
        <v>#DIV/0!</v>
      </c>
      <c r="AU183" s="287"/>
      <c r="AV183" s="287"/>
      <c r="AW183" s="295" t="e">
        <f t="shared" si="111"/>
        <v>#DIV/0!</v>
      </c>
      <c r="AX183" s="287">
        <f>AX184+AX185</f>
        <v>0</v>
      </c>
      <c r="AY183" s="288">
        <f>AY184+AY185</f>
        <v>0</v>
      </c>
      <c r="AZ183" s="294" t="e">
        <f t="shared" si="112"/>
        <v>#DIV/0!</v>
      </c>
      <c r="BA183" s="287">
        <f>BA184+BA185</f>
        <v>0</v>
      </c>
      <c r="BB183" s="287">
        <f>BB184+BB185</f>
        <v>0</v>
      </c>
      <c r="BC183" s="292" t="e">
        <f t="shared" si="132"/>
        <v>#DIV/0!</v>
      </c>
      <c r="BD183" s="304">
        <f>I183+L183+O183+U183+X183+AA183+AG183+AJ183+AM183+AS183+AV183+AY183</f>
        <v>0</v>
      </c>
      <c r="BE183" s="296">
        <f t="shared" si="113"/>
        <v>0</v>
      </c>
      <c r="BF183" s="297">
        <f t="shared" si="133"/>
        <v>185650</v>
      </c>
    </row>
    <row r="184" spans="1:58" ht="13.5" thickBot="1">
      <c r="A184" s="298">
        <v>2</v>
      </c>
      <c r="B184" s="299">
        <v>6</v>
      </c>
      <c r="C184" s="299">
        <v>8</v>
      </c>
      <c r="D184" s="299">
        <v>3</v>
      </c>
      <c r="E184" s="402" t="s">
        <v>149</v>
      </c>
      <c r="F184" s="90" t="s">
        <v>116</v>
      </c>
      <c r="G184" s="300">
        <v>25000</v>
      </c>
      <c r="H184" s="300"/>
      <c r="I184" s="304"/>
      <c r="J184" s="289" t="e">
        <f t="shared" si="101"/>
        <v>#DIV/0!</v>
      </c>
      <c r="K184" s="302"/>
      <c r="L184" s="300"/>
      <c r="M184" s="291" t="e">
        <f t="shared" si="102"/>
        <v>#DIV/0!</v>
      </c>
      <c r="N184" s="300"/>
      <c r="O184" s="300"/>
      <c r="P184" s="291" t="e">
        <f t="shared" si="103"/>
        <v>#DIV/0!</v>
      </c>
      <c r="Q184" s="280">
        <f aca="true" t="shared" si="134" ref="Q184:R186">N184+K184+H184</f>
        <v>0</v>
      </c>
      <c r="R184" s="280">
        <f t="shared" si="134"/>
        <v>0</v>
      </c>
      <c r="S184" s="292" t="e">
        <f t="shared" si="120"/>
        <v>#DIV/0!</v>
      </c>
      <c r="T184" s="300"/>
      <c r="U184" s="304"/>
      <c r="V184" s="291" t="e">
        <f t="shared" si="104"/>
        <v>#DIV/0!</v>
      </c>
      <c r="W184" s="300"/>
      <c r="X184" s="304"/>
      <c r="Y184" s="291" t="e">
        <f t="shared" si="105"/>
        <v>#DIV/0!</v>
      </c>
      <c r="Z184" s="300"/>
      <c r="AA184" s="304"/>
      <c r="AB184" s="291" t="e">
        <f t="shared" si="106"/>
        <v>#DIV/0!</v>
      </c>
      <c r="AC184" s="280">
        <f aca="true" t="shared" si="135" ref="AC184:AD186">Z184+W184+T184</f>
        <v>0</v>
      </c>
      <c r="AD184" s="280">
        <f t="shared" si="135"/>
        <v>0</v>
      </c>
      <c r="AE184" s="292" t="e">
        <f t="shared" si="130"/>
        <v>#DIV/0!</v>
      </c>
      <c r="AF184" s="300"/>
      <c r="AG184" s="304"/>
      <c r="AH184" s="293" t="e">
        <f t="shared" si="107"/>
        <v>#DIV/0!</v>
      </c>
      <c r="AI184" s="300"/>
      <c r="AJ184" s="304"/>
      <c r="AK184" s="294" t="e">
        <f t="shared" si="108"/>
        <v>#DIV/0!</v>
      </c>
      <c r="AL184" s="90"/>
      <c r="AM184" s="90"/>
      <c r="AN184" s="155" t="e">
        <f t="shared" si="129"/>
        <v>#DIV/0!</v>
      </c>
      <c r="AO184" s="300">
        <f aca="true" t="shared" si="136" ref="AO184:AP186">AL184+AI184+AF184</f>
        <v>0</v>
      </c>
      <c r="AP184" s="300">
        <f t="shared" si="136"/>
        <v>0</v>
      </c>
      <c r="AQ184" s="292" t="e">
        <f t="shared" si="131"/>
        <v>#DIV/0!</v>
      </c>
      <c r="AR184" s="300"/>
      <c r="AS184" s="300"/>
      <c r="AT184" s="295" t="e">
        <f t="shared" si="110"/>
        <v>#DIV/0!</v>
      </c>
      <c r="AU184" s="300"/>
      <c r="AV184" s="300"/>
      <c r="AW184" s="295" t="e">
        <f t="shared" si="111"/>
        <v>#DIV/0!</v>
      </c>
      <c r="AX184" s="300"/>
      <c r="AY184" s="304"/>
      <c r="AZ184" s="294" t="e">
        <f t="shared" si="112"/>
        <v>#DIV/0!</v>
      </c>
      <c r="BA184" s="280">
        <f aca="true" t="shared" si="137" ref="BA184:BB186">AX184+AU184+AR184</f>
        <v>0</v>
      </c>
      <c r="BB184" s="280">
        <f t="shared" si="137"/>
        <v>0</v>
      </c>
      <c r="BC184" s="292" t="e">
        <f t="shared" si="132"/>
        <v>#DIV/0!</v>
      </c>
      <c r="BD184" s="304"/>
      <c r="BE184" s="296">
        <f t="shared" si="113"/>
        <v>0</v>
      </c>
      <c r="BF184" s="308">
        <f t="shared" si="133"/>
        <v>25000</v>
      </c>
    </row>
    <row r="185" spans="1:58" ht="19.5" thickBot="1">
      <c r="A185" s="298">
        <v>2</v>
      </c>
      <c r="B185" s="299">
        <v>6</v>
      </c>
      <c r="C185" s="299">
        <v>8</v>
      </c>
      <c r="D185" s="299">
        <v>3</v>
      </c>
      <c r="E185" s="402" t="s">
        <v>150</v>
      </c>
      <c r="F185" s="90" t="s">
        <v>70</v>
      </c>
      <c r="G185" s="300">
        <v>160650</v>
      </c>
      <c r="H185" s="300"/>
      <c r="I185" s="304"/>
      <c r="J185" s="289" t="e">
        <f t="shared" si="101"/>
        <v>#DIV/0!</v>
      </c>
      <c r="K185" s="302"/>
      <c r="L185" s="300"/>
      <c r="M185" s="291" t="e">
        <f t="shared" si="102"/>
        <v>#DIV/0!</v>
      </c>
      <c r="N185" s="300"/>
      <c r="O185" s="300"/>
      <c r="P185" s="291" t="e">
        <f t="shared" si="103"/>
        <v>#DIV/0!</v>
      </c>
      <c r="Q185" s="280">
        <f t="shared" si="134"/>
        <v>0</v>
      </c>
      <c r="R185" s="280">
        <f t="shared" si="134"/>
        <v>0</v>
      </c>
      <c r="S185" s="292" t="e">
        <f t="shared" si="120"/>
        <v>#DIV/0!</v>
      </c>
      <c r="T185" s="300"/>
      <c r="U185" s="304"/>
      <c r="V185" s="291" t="e">
        <f t="shared" si="104"/>
        <v>#DIV/0!</v>
      </c>
      <c r="W185" s="300"/>
      <c r="X185" s="304"/>
      <c r="Y185" s="291" t="e">
        <f t="shared" si="105"/>
        <v>#DIV/0!</v>
      </c>
      <c r="Z185" s="300"/>
      <c r="AA185" s="304"/>
      <c r="AB185" s="291" t="e">
        <f t="shared" si="106"/>
        <v>#DIV/0!</v>
      </c>
      <c r="AC185" s="280">
        <f t="shared" si="135"/>
        <v>0</v>
      </c>
      <c r="AD185" s="280">
        <f t="shared" si="135"/>
        <v>0</v>
      </c>
      <c r="AE185" s="292" t="e">
        <f t="shared" si="130"/>
        <v>#DIV/0!</v>
      </c>
      <c r="AF185" s="300"/>
      <c r="AG185" s="304"/>
      <c r="AH185" s="293" t="e">
        <f t="shared" si="107"/>
        <v>#DIV/0!</v>
      </c>
      <c r="AI185" s="300"/>
      <c r="AJ185" s="304"/>
      <c r="AK185" s="294" t="e">
        <f t="shared" si="108"/>
        <v>#DIV/0!</v>
      </c>
      <c r="AL185" s="90"/>
      <c r="AM185" s="90"/>
      <c r="AN185" s="155" t="e">
        <f t="shared" si="129"/>
        <v>#DIV/0!</v>
      </c>
      <c r="AO185" s="300">
        <f t="shared" si="136"/>
        <v>0</v>
      </c>
      <c r="AP185" s="300">
        <f t="shared" si="136"/>
        <v>0</v>
      </c>
      <c r="AQ185" s="292" t="e">
        <f t="shared" si="131"/>
        <v>#DIV/0!</v>
      </c>
      <c r="AR185" s="300"/>
      <c r="AS185" s="300"/>
      <c r="AT185" s="295" t="e">
        <f t="shared" si="110"/>
        <v>#DIV/0!</v>
      </c>
      <c r="AU185" s="300"/>
      <c r="AV185" s="300"/>
      <c r="AW185" s="295" t="e">
        <f t="shared" si="111"/>
        <v>#DIV/0!</v>
      </c>
      <c r="AX185" s="300"/>
      <c r="AY185" s="304"/>
      <c r="AZ185" s="294" t="e">
        <f t="shared" si="112"/>
        <v>#DIV/0!</v>
      </c>
      <c r="BA185" s="280">
        <f t="shared" si="137"/>
        <v>0</v>
      </c>
      <c r="BB185" s="280">
        <f t="shared" si="137"/>
        <v>0</v>
      </c>
      <c r="BC185" s="292" t="e">
        <f t="shared" si="132"/>
        <v>#DIV/0!</v>
      </c>
      <c r="BD185" s="304"/>
      <c r="BE185" s="296">
        <f t="shared" si="113"/>
        <v>0</v>
      </c>
      <c r="BF185" s="308">
        <f t="shared" si="133"/>
        <v>160650</v>
      </c>
    </row>
    <row r="186" spans="1:58" ht="13.5" thickBot="1">
      <c r="A186" s="286">
        <v>2</v>
      </c>
      <c r="B186" s="231">
        <v>6</v>
      </c>
      <c r="C186" s="231">
        <v>8</v>
      </c>
      <c r="D186" s="231">
        <v>5</v>
      </c>
      <c r="E186" s="401"/>
      <c r="F186" s="155" t="s">
        <v>113</v>
      </c>
      <c r="G186" s="287">
        <v>50000</v>
      </c>
      <c r="H186" s="287"/>
      <c r="I186" s="288"/>
      <c r="J186" s="289" t="e">
        <f t="shared" si="101"/>
        <v>#DIV/0!</v>
      </c>
      <c r="K186" s="290"/>
      <c r="L186" s="287"/>
      <c r="M186" s="291" t="e">
        <f t="shared" si="102"/>
        <v>#DIV/0!</v>
      </c>
      <c r="N186" s="287"/>
      <c r="O186" s="287">
        <v>180000</v>
      </c>
      <c r="P186" s="291" t="e">
        <f t="shared" si="103"/>
        <v>#DIV/0!</v>
      </c>
      <c r="Q186" s="280">
        <f t="shared" si="134"/>
        <v>0</v>
      </c>
      <c r="R186" s="280">
        <f t="shared" si="134"/>
        <v>180000</v>
      </c>
      <c r="S186" s="292" t="e">
        <f t="shared" si="120"/>
        <v>#DIV/0!</v>
      </c>
      <c r="T186" s="287"/>
      <c r="U186" s="288"/>
      <c r="V186" s="291" t="e">
        <f t="shared" si="104"/>
        <v>#DIV/0!</v>
      </c>
      <c r="W186" s="287"/>
      <c r="X186" s="288"/>
      <c r="Y186" s="291" t="e">
        <f t="shared" si="105"/>
        <v>#DIV/0!</v>
      </c>
      <c r="Z186" s="287"/>
      <c r="AA186" s="288"/>
      <c r="AB186" s="291" t="e">
        <f t="shared" si="106"/>
        <v>#DIV/0!</v>
      </c>
      <c r="AC186" s="280">
        <f t="shared" si="135"/>
        <v>0</v>
      </c>
      <c r="AD186" s="280">
        <f t="shared" si="135"/>
        <v>0</v>
      </c>
      <c r="AE186" s="292" t="e">
        <f t="shared" si="130"/>
        <v>#DIV/0!</v>
      </c>
      <c r="AF186" s="287"/>
      <c r="AG186" s="288"/>
      <c r="AH186" s="293" t="e">
        <f t="shared" si="107"/>
        <v>#DIV/0!</v>
      </c>
      <c r="AI186" s="287"/>
      <c r="AJ186" s="288"/>
      <c r="AK186" s="294" t="e">
        <f t="shared" si="108"/>
        <v>#DIV/0!</v>
      </c>
      <c r="AL186" s="155"/>
      <c r="AM186" s="155"/>
      <c r="AN186" s="155" t="e">
        <f t="shared" si="129"/>
        <v>#DIV/0!</v>
      </c>
      <c r="AO186" s="300">
        <f t="shared" si="136"/>
        <v>0</v>
      </c>
      <c r="AP186" s="300">
        <f t="shared" si="136"/>
        <v>0</v>
      </c>
      <c r="AQ186" s="292" t="e">
        <f t="shared" si="131"/>
        <v>#DIV/0!</v>
      </c>
      <c r="AR186" s="287"/>
      <c r="AS186" s="287"/>
      <c r="AT186" s="295" t="e">
        <f t="shared" si="110"/>
        <v>#DIV/0!</v>
      </c>
      <c r="AU186" s="287"/>
      <c r="AV186" s="287"/>
      <c r="AW186" s="295" t="e">
        <f t="shared" si="111"/>
        <v>#DIV/0!</v>
      </c>
      <c r="AX186" s="287"/>
      <c r="AY186" s="288"/>
      <c r="AZ186" s="294" t="e">
        <f t="shared" si="112"/>
        <v>#DIV/0!</v>
      </c>
      <c r="BA186" s="280">
        <f t="shared" si="137"/>
        <v>0</v>
      </c>
      <c r="BB186" s="280">
        <f t="shared" si="137"/>
        <v>0</v>
      </c>
      <c r="BC186" s="292" t="e">
        <f t="shared" si="132"/>
        <v>#DIV/0!</v>
      </c>
      <c r="BD186" s="304">
        <f>I186+L186+O186+U186+X186+AA186+AG186+AJ186+AM186+AS186+AV186+AY186</f>
        <v>180000</v>
      </c>
      <c r="BE186" s="296">
        <f t="shared" si="113"/>
        <v>3.6</v>
      </c>
      <c r="BF186" s="297">
        <f t="shared" si="133"/>
        <v>-130000</v>
      </c>
    </row>
    <row r="187" spans="1:58" ht="13.5" thickBot="1">
      <c r="A187" s="286">
        <v>2</v>
      </c>
      <c r="B187" s="231">
        <v>6</v>
      </c>
      <c r="C187" s="231">
        <v>8</v>
      </c>
      <c r="D187" s="231">
        <v>8</v>
      </c>
      <c r="E187" s="401"/>
      <c r="F187" s="155" t="s">
        <v>202</v>
      </c>
      <c r="G187" s="287">
        <f>+G188</f>
        <v>50000</v>
      </c>
      <c r="H187" s="287">
        <f>+H188</f>
        <v>0</v>
      </c>
      <c r="I187" s="288">
        <f>+I188</f>
        <v>0</v>
      </c>
      <c r="J187" s="289" t="e">
        <f t="shared" si="101"/>
        <v>#DIV/0!</v>
      </c>
      <c r="K187" s="290">
        <f>+K188</f>
        <v>0</v>
      </c>
      <c r="L187" s="287">
        <f>+L188</f>
        <v>0</v>
      </c>
      <c r="M187" s="291" t="e">
        <f t="shared" si="102"/>
        <v>#DIV/0!</v>
      </c>
      <c r="N187" s="287">
        <f>+N188</f>
        <v>0</v>
      </c>
      <c r="O187" s="287">
        <f>+O188</f>
        <v>0</v>
      </c>
      <c r="P187" s="291" t="e">
        <f t="shared" si="103"/>
        <v>#DIV/0!</v>
      </c>
      <c r="Q187" s="280">
        <f>N187+K187+H187</f>
        <v>0</v>
      </c>
      <c r="R187" s="287">
        <f>+R188</f>
        <v>0</v>
      </c>
      <c r="S187" s="292" t="e">
        <f t="shared" si="120"/>
        <v>#DIV/0!</v>
      </c>
      <c r="T187" s="287">
        <f>+T188</f>
        <v>0</v>
      </c>
      <c r="U187" s="288">
        <f>+U188</f>
        <v>0</v>
      </c>
      <c r="V187" s="291" t="e">
        <f t="shared" si="104"/>
        <v>#DIV/0!</v>
      </c>
      <c r="W187" s="287">
        <f>+W188</f>
        <v>0</v>
      </c>
      <c r="X187" s="288">
        <f>+X188</f>
        <v>0</v>
      </c>
      <c r="Y187" s="291" t="e">
        <f t="shared" si="105"/>
        <v>#DIV/0!</v>
      </c>
      <c r="Z187" s="287">
        <f>+Z188</f>
        <v>0</v>
      </c>
      <c r="AA187" s="288">
        <f>+AA188</f>
        <v>0</v>
      </c>
      <c r="AB187" s="291" t="e">
        <f t="shared" si="106"/>
        <v>#DIV/0!</v>
      </c>
      <c r="AC187" s="280">
        <f>Z187+W187+T187</f>
        <v>0</v>
      </c>
      <c r="AD187" s="287">
        <f>+AD188</f>
        <v>0</v>
      </c>
      <c r="AE187" s="292" t="e">
        <f t="shared" si="130"/>
        <v>#DIV/0!</v>
      </c>
      <c r="AF187" s="287">
        <f>+AF188</f>
        <v>0</v>
      </c>
      <c r="AG187" s="288">
        <f>+AG188</f>
        <v>0</v>
      </c>
      <c r="AH187" s="293" t="e">
        <f>AG187/AF187</f>
        <v>#DIV/0!</v>
      </c>
      <c r="AI187" s="287">
        <f>+AI188</f>
        <v>0</v>
      </c>
      <c r="AJ187" s="288">
        <f>+AJ188</f>
        <v>0</v>
      </c>
      <c r="AK187" s="294" t="e">
        <f t="shared" si="108"/>
        <v>#DIV/0!</v>
      </c>
      <c r="AL187" s="287">
        <f>+AL188</f>
        <v>0</v>
      </c>
      <c r="AM187" s="287">
        <f>+AM188</f>
        <v>0</v>
      </c>
      <c r="AN187" s="155" t="e">
        <f t="shared" si="129"/>
        <v>#DIV/0!</v>
      </c>
      <c r="AO187" s="300">
        <f>AL187+AI187+AF187</f>
        <v>0</v>
      </c>
      <c r="AP187" s="287">
        <f>+AP188</f>
        <v>0</v>
      </c>
      <c r="AQ187" s="292" t="e">
        <f t="shared" si="131"/>
        <v>#DIV/0!</v>
      </c>
      <c r="AR187" s="287"/>
      <c r="AS187" s="287"/>
      <c r="AT187" s="295" t="e">
        <f t="shared" si="110"/>
        <v>#DIV/0!</v>
      </c>
      <c r="AU187" s="287"/>
      <c r="AV187" s="287"/>
      <c r="AW187" s="295" t="e">
        <f t="shared" si="111"/>
        <v>#DIV/0!</v>
      </c>
      <c r="AX187" s="287">
        <f>+AX188</f>
        <v>0</v>
      </c>
      <c r="AY187" s="288">
        <f>+AY188</f>
        <v>0</v>
      </c>
      <c r="AZ187" s="294" t="e">
        <f t="shared" si="112"/>
        <v>#DIV/0!</v>
      </c>
      <c r="BA187" s="280">
        <f>AX187+AU187+AR187</f>
        <v>0</v>
      </c>
      <c r="BB187" s="287">
        <f>+BB188</f>
        <v>0</v>
      </c>
      <c r="BC187" s="292" t="e">
        <f t="shared" si="132"/>
        <v>#DIV/0!</v>
      </c>
      <c r="BD187" s="288">
        <f>+BD188</f>
        <v>0</v>
      </c>
      <c r="BE187" s="296">
        <f t="shared" si="113"/>
        <v>0</v>
      </c>
      <c r="BF187" s="297">
        <f t="shared" si="133"/>
        <v>50000</v>
      </c>
    </row>
    <row r="188" spans="1:58" ht="13.5" thickBot="1">
      <c r="A188" s="358">
        <v>2</v>
      </c>
      <c r="B188" s="359">
        <v>6</v>
      </c>
      <c r="C188" s="359">
        <v>8</v>
      </c>
      <c r="D188" s="359">
        <v>8</v>
      </c>
      <c r="E188" s="414" t="s">
        <v>149</v>
      </c>
      <c r="F188" s="91" t="s">
        <v>115</v>
      </c>
      <c r="G188" s="319">
        <v>50000</v>
      </c>
      <c r="H188" s="319"/>
      <c r="I188" s="316"/>
      <c r="J188" s="317" t="e">
        <f t="shared" si="101"/>
        <v>#DIV/0!</v>
      </c>
      <c r="K188" s="318"/>
      <c r="L188" s="319"/>
      <c r="M188" s="320" t="e">
        <f t="shared" si="102"/>
        <v>#DIV/0!</v>
      </c>
      <c r="N188" s="319"/>
      <c r="O188" s="319"/>
      <c r="P188" s="320" t="e">
        <f t="shared" si="103"/>
        <v>#DIV/0!</v>
      </c>
      <c r="Q188" s="321">
        <f>N188+K188+H188</f>
        <v>0</v>
      </c>
      <c r="R188" s="321">
        <f>O188+L188+I188</f>
        <v>0</v>
      </c>
      <c r="S188" s="322" t="e">
        <f t="shared" si="120"/>
        <v>#DIV/0!</v>
      </c>
      <c r="T188" s="319"/>
      <c r="U188" s="316"/>
      <c r="V188" s="320" t="e">
        <f t="shared" si="104"/>
        <v>#DIV/0!</v>
      </c>
      <c r="W188" s="319"/>
      <c r="X188" s="316"/>
      <c r="Y188" s="320" t="e">
        <f t="shared" si="105"/>
        <v>#DIV/0!</v>
      </c>
      <c r="Z188" s="319"/>
      <c r="AA188" s="316"/>
      <c r="AB188" s="320" t="e">
        <f t="shared" si="106"/>
        <v>#DIV/0!</v>
      </c>
      <c r="AC188" s="321">
        <f>Z188+W188+T188</f>
        <v>0</v>
      </c>
      <c r="AD188" s="321">
        <f>AA188+X188+U188</f>
        <v>0</v>
      </c>
      <c r="AE188" s="322" t="e">
        <f t="shared" si="130"/>
        <v>#DIV/0!</v>
      </c>
      <c r="AF188" s="319"/>
      <c r="AG188" s="316"/>
      <c r="AH188" s="293" t="e">
        <f>AG188/AF188</f>
        <v>#DIV/0!</v>
      </c>
      <c r="AI188" s="319"/>
      <c r="AJ188" s="316"/>
      <c r="AK188" s="323" t="e">
        <f t="shared" si="108"/>
        <v>#DIV/0!</v>
      </c>
      <c r="AL188" s="91"/>
      <c r="AM188" s="91"/>
      <c r="AN188" s="154" t="e">
        <f t="shared" si="129"/>
        <v>#DIV/0!</v>
      </c>
      <c r="AO188" s="319">
        <f>AL188+AI188+AF188</f>
        <v>0</v>
      </c>
      <c r="AP188" s="319">
        <f>AM188+AJ188+AG188</f>
        <v>0</v>
      </c>
      <c r="AQ188" s="322" t="e">
        <f t="shared" si="131"/>
        <v>#DIV/0!</v>
      </c>
      <c r="AR188" s="319"/>
      <c r="AS188" s="319"/>
      <c r="AT188" s="324" t="e">
        <f t="shared" si="110"/>
        <v>#DIV/0!</v>
      </c>
      <c r="AU188" s="319"/>
      <c r="AV188" s="319"/>
      <c r="AW188" s="324" t="e">
        <f t="shared" si="111"/>
        <v>#DIV/0!</v>
      </c>
      <c r="AX188" s="319"/>
      <c r="AY188" s="316"/>
      <c r="AZ188" s="323" t="e">
        <f t="shared" si="112"/>
        <v>#DIV/0!</v>
      </c>
      <c r="BA188" s="321">
        <f>AX188+AU188+AR188</f>
        <v>0</v>
      </c>
      <c r="BB188" s="321">
        <f>AY188+AV188+AS188</f>
        <v>0</v>
      </c>
      <c r="BC188" s="322" t="e">
        <f t="shared" si="132"/>
        <v>#DIV/0!</v>
      </c>
      <c r="BD188" s="316">
        <f>I188+L188+O188+U188+X188+AA188+AG188+AJ188+AM188+AS188+AV188+AY188</f>
        <v>0</v>
      </c>
      <c r="BE188" s="348">
        <f t="shared" si="113"/>
        <v>0</v>
      </c>
      <c r="BF188" s="326">
        <f t="shared" si="133"/>
        <v>50000</v>
      </c>
    </row>
    <row r="189" spans="1:58" ht="13.5" thickBot="1">
      <c r="A189" s="261"/>
      <c r="B189" s="262"/>
      <c r="C189" s="262"/>
      <c r="D189" s="262"/>
      <c r="E189" s="415"/>
      <c r="F189" s="256" t="s">
        <v>60</v>
      </c>
      <c r="G189" s="380">
        <f>G17+G49+G112+G154+G168</f>
        <v>55905844</v>
      </c>
      <c r="H189" s="380">
        <f>H17+H49+H112+H154+H168</f>
        <v>0</v>
      </c>
      <c r="I189" s="380">
        <f>I17+I49+I112+I154+I168</f>
        <v>5503006.5</v>
      </c>
      <c r="J189" s="267" t="e">
        <f t="shared" si="101"/>
        <v>#DIV/0!</v>
      </c>
      <c r="K189" s="380">
        <f>K17+K49+K112+K154+K168</f>
        <v>0</v>
      </c>
      <c r="L189" s="380">
        <f>L17+L49+L112+L154+L168</f>
        <v>4716228.720000001</v>
      </c>
      <c r="M189" s="269" t="e">
        <f t="shared" si="102"/>
        <v>#DIV/0!</v>
      </c>
      <c r="N189" s="380">
        <f>N17+N49+N112+N154+N168</f>
        <v>0</v>
      </c>
      <c r="O189" s="380">
        <f>O17+O49+O112+O154+O168</f>
        <v>4031287.5100000002</v>
      </c>
      <c r="P189" s="269" t="e">
        <f t="shared" si="103"/>
        <v>#DIV/0!</v>
      </c>
      <c r="Q189" s="380">
        <f>Q17+Q49+Q112+Q154+Q168</f>
        <v>0</v>
      </c>
      <c r="R189" s="380">
        <f>R17+R49+R112+R154+R168</f>
        <v>14273172.73</v>
      </c>
      <c r="S189" s="327" t="e">
        <f t="shared" si="120"/>
        <v>#DIV/0!</v>
      </c>
      <c r="T189" s="380">
        <f>T17+T49+T112+T154+T168</f>
        <v>0</v>
      </c>
      <c r="U189" s="380">
        <f>U17+U49+U112+U154+U168</f>
        <v>0</v>
      </c>
      <c r="V189" s="269" t="e">
        <f t="shared" si="104"/>
        <v>#DIV/0!</v>
      </c>
      <c r="W189" s="380">
        <f>W17+W49+W112+W154+W168</f>
        <v>0</v>
      </c>
      <c r="X189" s="380">
        <f>X17+X49+X112+X154+X168</f>
        <v>0</v>
      </c>
      <c r="Y189" s="269" t="e">
        <f t="shared" si="105"/>
        <v>#DIV/0!</v>
      </c>
      <c r="Z189" s="380">
        <f>Z17+Z49+Z112+Z154+Z168</f>
        <v>0</v>
      </c>
      <c r="AA189" s="380">
        <f>AA17+AA49+AA112+AA154+AA168</f>
        <v>0</v>
      </c>
      <c r="AB189" s="269" t="e">
        <f t="shared" si="106"/>
        <v>#DIV/0!</v>
      </c>
      <c r="AC189" s="380">
        <f>AC17+AC49+AC112+AC154+AC168</f>
        <v>0</v>
      </c>
      <c r="AD189" s="380">
        <f>AD17+AD49+AD112+AD154+AD168</f>
        <v>0</v>
      </c>
      <c r="AE189" s="327" t="e">
        <f t="shared" si="130"/>
        <v>#DIV/0!</v>
      </c>
      <c r="AF189" s="380">
        <f>AF17+AF49+AF112+AF154+AF168</f>
        <v>0</v>
      </c>
      <c r="AG189" s="380">
        <f>AG17+AG49+AG112+AG154+AG168</f>
        <v>0</v>
      </c>
      <c r="AH189" s="267" t="e">
        <f>AG189/AF189</f>
        <v>#DIV/0!</v>
      </c>
      <c r="AI189" s="380">
        <f>AI17+AI49+AI112+AI154+AI168</f>
        <v>0</v>
      </c>
      <c r="AJ189" s="380">
        <f>AJ17+AJ49+AJ112+AJ154+AJ168</f>
        <v>0</v>
      </c>
      <c r="AK189" s="266" t="e">
        <f t="shared" si="108"/>
        <v>#DIV/0!</v>
      </c>
      <c r="AL189" s="380">
        <f>AL17+AL49+AL112+AL154+AL168</f>
        <v>0</v>
      </c>
      <c r="AM189" s="380">
        <f>AM17+AM49+AM112+AM154+AM168</f>
        <v>0</v>
      </c>
      <c r="AN189" s="211" t="e">
        <f t="shared" si="129"/>
        <v>#DIV/0!</v>
      </c>
      <c r="AO189" s="265">
        <f>AO17+AO49+AO112+AO154+AO168</f>
        <v>0</v>
      </c>
      <c r="AP189" s="265">
        <f>AP17+AP49+AP112+AP154+AP168</f>
        <v>0</v>
      </c>
      <c r="AQ189" s="327" t="e">
        <f t="shared" si="131"/>
        <v>#DIV/0!</v>
      </c>
      <c r="AR189" s="265">
        <f>AR17+AR49+AR112+AR154+AR168</f>
        <v>0</v>
      </c>
      <c r="AS189" s="265">
        <f>AS17+AS49+AS112+AS154+AS168</f>
        <v>0</v>
      </c>
      <c r="AT189" s="265" t="e">
        <f t="shared" si="110"/>
        <v>#DIV/0!</v>
      </c>
      <c r="AU189" s="265">
        <f>AU17+AU49+AU112+AU154+AU168</f>
        <v>0</v>
      </c>
      <c r="AV189" s="265">
        <f>AV17+AV49+AV112+AV154+AV168</f>
        <v>0</v>
      </c>
      <c r="AW189" s="265" t="e">
        <f t="shared" si="111"/>
        <v>#DIV/0!</v>
      </c>
      <c r="AX189" s="265">
        <f>AX17+AX49+AX112+AX154+AX168</f>
        <v>0</v>
      </c>
      <c r="AY189" s="265">
        <f>AY17+AY49+AY112+AY154+AY168</f>
        <v>0</v>
      </c>
      <c r="AZ189" s="266" t="e">
        <f t="shared" si="112"/>
        <v>#DIV/0!</v>
      </c>
      <c r="BA189" s="380">
        <f>BA17+BA49+BA112+BA154+BA168</f>
        <v>0</v>
      </c>
      <c r="BB189" s="380">
        <f>BB17+BB49+BB112+BB154+BB168</f>
        <v>0</v>
      </c>
      <c r="BC189" s="327" t="e">
        <f t="shared" si="132"/>
        <v>#DIV/0!</v>
      </c>
      <c r="BD189" s="381">
        <f>BD17+BD49+BD112+BD154+BD168</f>
        <v>14273172.73</v>
      </c>
      <c r="BE189" s="269">
        <f t="shared" si="113"/>
        <v>0.25530734729628624</v>
      </c>
      <c r="BF189" s="328">
        <f>BF17+BF49+BF112+BF154+BF168</f>
        <v>41632671.269999996</v>
      </c>
    </row>
    <row r="190" spans="1:58" ht="12.75">
      <c r="A190" s="157"/>
      <c r="B190" s="157"/>
      <c r="C190" s="157"/>
      <c r="D190" s="157"/>
      <c r="E190" s="416"/>
      <c r="F190" s="158"/>
      <c r="G190" s="382"/>
      <c r="H190" s="382"/>
      <c r="I190" s="382"/>
      <c r="J190" s="383"/>
      <c r="K190" s="382"/>
      <c r="L190" s="382"/>
      <c r="M190" s="384"/>
      <c r="N190" s="382"/>
      <c r="O190" s="382"/>
      <c r="P190" s="384"/>
      <c r="Q190" s="382"/>
      <c r="R190" s="382"/>
      <c r="S190" s="385"/>
      <c r="T190" s="382"/>
      <c r="U190" s="382"/>
      <c r="V190" s="384"/>
      <c r="W190" s="382"/>
      <c r="X190" s="382"/>
      <c r="Y190" s="384"/>
      <c r="Z190" s="382"/>
      <c r="AA190" s="382"/>
      <c r="AB190" s="384"/>
      <c r="AC190" s="382"/>
      <c r="AD190" s="382"/>
      <c r="AE190" s="385"/>
      <c r="AF190" s="382"/>
      <c r="AG190" s="382"/>
      <c r="AH190" s="383"/>
      <c r="AI190" s="382"/>
      <c r="AJ190" s="382"/>
      <c r="AK190" s="386"/>
      <c r="AL190" s="382"/>
      <c r="AM190" s="382"/>
      <c r="AN190" s="387"/>
      <c r="AO190" s="386"/>
      <c r="AP190" s="386"/>
      <c r="AQ190" s="385"/>
      <c r="AR190" s="386"/>
      <c r="AS190" s="386"/>
      <c r="AT190" s="386"/>
      <c r="AU190" s="386"/>
      <c r="AV190" s="386"/>
      <c r="AW190" s="386"/>
      <c r="AX190" s="386"/>
      <c r="AY190" s="386"/>
      <c r="AZ190" s="386"/>
      <c r="BA190" s="382"/>
      <c r="BB190" s="382"/>
      <c r="BC190" s="385"/>
      <c r="BD190" s="382"/>
      <c r="BE190" s="384"/>
      <c r="BF190" s="382"/>
    </row>
    <row r="191" spans="1:58" ht="27.75" customHeight="1">
      <c r="A191" s="149"/>
      <c r="B191" s="518" t="s">
        <v>223</v>
      </c>
      <c r="C191" s="519"/>
      <c r="D191" s="519"/>
      <c r="E191" s="519"/>
      <c r="F191" s="519"/>
      <c r="G191" s="519"/>
      <c r="N191" s="588"/>
      <c r="O191" s="589"/>
      <c r="P191" s="589"/>
      <c r="Q191" s="145"/>
      <c r="R191" s="145"/>
      <c r="S191" s="389"/>
      <c r="T191" s="390"/>
      <c r="U191" s="390"/>
      <c r="V191" s="391"/>
      <c r="W191" s="390"/>
      <c r="X191" s="390"/>
      <c r="Y191" s="390"/>
      <c r="Z191" s="390"/>
      <c r="AA191" s="390"/>
      <c r="AB191" s="390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392"/>
      <c r="AP191" s="392"/>
      <c r="AQ191" s="393"/>
      <c r="AR191" s="390"/>
      <c r="AS191" s="390"/>
      <c r="AT191" s="149"/>
      <c r="AU191" s="390"/>
      <c r="AV191" s="390"/>
      <c r="AW191" s="149"/>
      <c r="AX191" s="390"/>
      <c r="AY191" s="390"/>
      <c r="AZ191" s="149"/>
      <c r="BA191" s="394"/>
      <c r="BB191" s="394"/>
      <c r="BC191" s="395"/>
      <c r="BD191" s="396"/>
      <c r="BE191" s="149"/>
      <c r="BF191" s="397"/>
    </row>
    <row r="192" spans="1:58" ht="12.75">
      <c r="A192" s="149"/>
      <c r="B192" s="149"/>
      <c r="C192" s="149"/>
      <c r="D192" s="149"/>
      <c r="E192" s="417"/>
      <c r="G192" s="145"/>
      <c r="H192" s="145"/>
      <c r="I192" s="388"/>
      <c r="J192" s="388"/>
      <c r="K192" s="388"/>
      <c r="L192" s="388"/>
      <c r="M192" s="388"/>
      <c r="N192" s="388"/>
      <c r="O192" s="388"/>
      <c r="P192" s="388"/>
      <c r="Q192" s="145"/>
      <c r="R192" s="145"/>
      <c r="S192" s="389"/>
      <c r="T192" s="390"/>
      <c r="U192" s="390"/>
      <c r="V192" s="391"/>
      <c r="W192" s="390"/>
      <c r="X192" s="390"/>
      <c r="Y192" s="390"/>
      <c r="Z192" s="390"/>
      <c r="AA192" s="390"/>
      <c r="AB192" s="390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392"/>
      <c r="AP192" s="392"/>
      <c r="AQ192" s="393"/>
      <c r="AR192" s="390"/>
      <c r="AS192" s="390"/>
      <c r="AT192" s="149"/>
      <c r="AU192" s="390"/>
      <c r="AV192" s="390"/>
      <c r="AW192" s="149"/>
      <c r="AX192" s="390"/>
      <c r="AY192" s="390"/>
      <c r="AZ192" s="149"/>
      <c r="BA192" s="394"/>
      <c r="BB192" s="394"/>
      <c r="BC192" s="395"/>
      <c r="BD192" s="398"/>
      <c r="BE192" s="149"/>
      <c r="BF192" s="397"/>
    </row>
  </sheetData>
  <sheetProtection/>
  <mergeCells count="34">
    <mergeCell ref="A1:BF1"/>
    <mergeCell ref="A2:BF2"/>
    <mergeCell ref="A3:BF3"/>
    <mergeCell ref="A4:BF4"/>
    <mergeCell ref="A5:BF5"/>
    <mergeCell ref="A6:BF6"/>
    <mergeCell ref="Q7:S15"/>
    <mergeCell ref="T7:V15"/>
    <mergeCell ref="W7:Y15"/>
    <mergeCell ref="Z7:AB15"/>
    <mergeCell ref="A7:A16"/>
    <mergeCell ref="B7:B16"/>
    <mergeCell ref="C7:C16"/>
    <mergeCell ref="D7:D16"/>
    <mergeCell ref="E7:E16"/>
    <mergeCell ref="F7:F16"/>
    <mergeCell ref="AC7:AE15"/>
    <mergeCell ref="AF7:AH15"/>
    <mergeCell ref="AI7:AK15"/>
    <mergeCell ref="AL7:AN15"/>
    <mergeCell ref="AO7:AQ15"/>
    <mergeCell ref="AR7:AT15"/>
    <mergeCell ref="AU7:AW15"/>
    <mergeCell ref="AX7:AZ15"/>
    <mergeCell ref="BA7:BC15"/>
    <mergeCell ref="BD7:BD16"/>
    <mergeCell ref="BE7:BE16"/>
    <mergeCell ref="BF7:BF16"/>
    <mergeCell ref="H7:J15"/>
    <mergeCell ref="K7:M15"/>
    <mergeCell ref="N7:P15"/>
    <mergeCell ref="N191:P191"/>
    <mergeCell ref="B191:G191"/>
    <mergeCell ref="G7:G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Patria Martinez</cp:lastModifiedBy>
  <cp:lastPrinted>2017-10-03T17:05:39Z</cp:lastPrinted>
  <dcterms:created xsi:type="dcterms:W3CDTF">2004-12-06T21:27:17Z</dcterms:created>
  <dcterms:modified xsi:type="dcterms:W3CDTF">2017-10-03T19:39:31Z</dcterms:modified>
  <cp:category/>
  <cp:version/>
  <cp:contentType/>
  <cp:contentStatus/>
</cp:coreProperties>
</file>