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7715" windowHeight="113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'Hoja1'!$A$3:$V$216</definedName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<sst xmlns="http://schemas.openxmlformats.org/spreadsheetml/2006/main" count="308" uniqueCount="204">
  <si>
    <t xml:space="preserve">CONCEPTO  DEFINICIÓN </t>
  </si>
  <si>
    <t>VALOR (RD$)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</si>
  <si>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</si>
  <si>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</si>
  <si>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</si>
  <si>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</si>
  <si>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</si>
  <si>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</si>
  <si>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</si>
  <si>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</si>
  <si>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DISPONIBLE</t>
  </si>
  <si>
    <t>ENERO</t>
  </si>
  <si>
    <t>FEBRERO</t>
  </si>
  <si>
    <t>MARZO</t>
  </si>
  <si>
    <t xml:space="preserve">OCTUBRE </t>
  </si>
  <si>
    <t>EJECUTADO</t>
  </si>
  <si>
    <t>REMUNERACIONES Y CONTRIBUCIONES</t>
  </si>
  <si>
    <t>REMUNERACIONES</t>
  </si>
  <si>
    <t>Remuneraciones al personal fijo</t>
  </si>
  <si>
    <t>01</t>
  </si>
  <si>
    <t>Sueldos fijos</t>
  </si>
  <si>
    <t>Remuneraciones al Personal con  Carácter Transitorio</t>
  </si>
  <si>
    <t>Sueldos personal contratato  e igualado</t>
  </si>
  <si>
    <t>02</t>
  </si>
  <si>
    <t>Sueldos de personal nominal</t>
  </si>
  <si>
    <t>03</t>
  </si>
  <si>
    <t>Suplencias</t>
  </si>
  <si>
    <t>04</t>
  </si>
  <si>
    <t>Sueldos al personal por servicios especiales</t>
  </si>
  <si>
    <t>05</t>
  </si>
  <si>
    <t>Sueldo al personal nominal en periodo probatorio</t>
  </si>
  <si>
    <t>Sueldos  al personal fjo en tramite de pensiones</t>
  </si>
  <si>
    <t>Sueldo anual no. 13</t>
  </si>
  <si>
    <t xml:space="preserve">Prestaciones Economicas </t>
  </si>
  <si>
    <t xml:space="preserve"> </t>
  </si>
  <si>
    <t>1</t>
  </si>
  <si>
    <t>SOBRESUELDOS</t>
  </si>
  <si>
    <t>Compensación</t>
  </si>
  <si>
    <t>Compesación por gastos de alimentación</t>
  </si>
  <si>
    <t>Compensacion por horas extraordinarias</t>
  </si>
  <si>
    <t>Prima de transporte</t>
  </si>
  <si>
    <t>Compensación por servicios de seguridad</t>
  </si>
  <si>
    <t>06</t>
  </si>
  <si>
    <t>Compensacion por resultados</t>
  </si>
  <si>
    <t>09</t>
  </si>
  <si>
    <t>Bono por desempeño</t>
  </si>
  <si>
    <t>DIETAS y GASTOS  DE REPRESENTACIÓN</t>
  </si>
  <si>
    <t>Dietas</t>
  </si>
  <si>
    <t>Dietas en el país</t>
  </si>
  <si>
    <t>Dietas en el Exterior</t>
  </si>
  <si>
    <t>Gastos de Representación             *</t>
  </si>
  <si>
    <t>Gastos de Representación en el País</t>
  </si>
  <si>
    <t>GRATIFICACIONES Y BONIFICACIONES</t>
  </si>
  <si>
    <t xml:space="preserve">Bonificaciones </t>
  </si>
  <si>
    <t xml:space="preserve">otras Bonificaciones </t>
  </si>
  <si>
    <t>Bono Escolar</t>
  </si>
  <si>
    <t>CONTRIBUCIONES A LA SEGURIDAD SOCIAL</t>
  </si>
  <si>
    <t>Contribuciones al seguro de salud</t>
  </si>
  <si>
    <t xml:space="preserve">Contribuciones al seguro de pensiones </t>
  </si>
  <si>
    <t>Contribuciones al seguro de riego laboral</t>
  </si>
  <si>
    <t>CONTRATACIÓN DE  DE SERVICIOS</t>
  </si>
  <si>
    <t>SERVICIOS BÁSICOS</t>
  </si>
  <si>
    <t>Servicios de telefónicos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</si>
  <si>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</si>
  <si>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</si>
  <si>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</si>
  <si>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</si>
  <si>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</si>
  <si>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Agua</t>
  </si>
  <si>
    <t xml:space="preserve">Recolección de residuos solidos </t>
  </si>
  <si>
    <t>PUBLICIDAD, IMPRESIÓN Y ENCUADERNACIÓN</t>
  </si>
  <si>
    <t>.01</t>
  </si>
  <si>
    <t>Publicidad y propaganda</t>
  </si>
  <si>
    <t>Impresión y encuadernación</t>
  </si>
  <si>
    <t>VIÁTICOS                 *</t>
  </si>
  <si>
    <t>Viáticos  dentro del país</t>
  </si>
  <si>
    <t>Viáticos Fuera del país</t>
  </si>
  <si>
    <t>TRANSPORTE Y ALMACENAJE   *</t>
  </si>
  <si>
    <t>Pasajes</t>
  </si>
  <si>
    <t>peaje</t>
  </si>
  <si>
    <t>ALQUILERES Y RENTAS</t>
  </si>
  <si>
    <t>Alquileres y rentas de edificios y locales</t>
  </si>
  <si>
    <t>Alquiles de equipos de transporte, tracción y elevación</t>
  </si>
  <si>
    <t>SEGUROS</t>
  </si>
  <si>
    <t>Seguro de bienes inmuebles</t>
  </si>
  <si>
    <t>Seguros de bienes muebles</t>
  </si>
  <si>
    <t xml:space="preserve">Seguros de personas </t>
  </si>
  <si>
    <t>Otros seguros</t>
  </si>
  <si>
    <t>SERVICIOS DE CONSERVACIÓN, REPARACIONES MENORES              *</t>
  </si>
  <si>
    <t>Contratación de obras menores</t>
  </si>
  <si>
    <t>Servicios especiales de mantenimientos y reparación</t>
  </si>
  <si>
    <t>Instalaciones eléctricas</t>
  </si>
  <si>
    <t>07</t>
  </si>
  <si>
    <t xml:space="preserve">Servicios de pintura y derivados con fines de higiene </t>
  </si>
  <si>
    <t>Mantenimiento y reparación de maquinarias y equipos</t>
  </si>
  <si>
    <t>Mantenimientos y reparaciones  de muebles y equipos de oficina</t>
  </si>
  <si>
    <t>Mantenimientos y reparaciones  de equipos para computación</t>
  </si>
  <si>
    <t>Mantenimientos y reparación de equipo de comunicación</t>
  </si>
  <si>
    <t>Matenimiento y reparación de equipos de transporte, tracción y elevación</t>
  </si>
  <si>
    <t xml:space="preserve">OTROS SERVICIOS NO INCLUIDOS </t>
  </si>
  <si>
    <t>Gastos judiciales</t>
  </si>
  <si>
    <t>Comisiones y gastos bancarios</t>
  </si>
  <si>
    <t>Fumigación, lavanderia,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</si>
  <si>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</si>
  <si>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</si>
  <si>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</si>
  <si>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</si>
  <si>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</si>
  <si>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</si>
  <si>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Servicios técnicos y profesionales</t>
  </si>
  <si>
    <t>Estudios de ingenierias, arquitectura, investigaciones y análisis de factibilidad    *</t>
  </si>
  <si>
    <t>Servicios jurídicos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</si>
  <si>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</si>
  <si>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</si>
  <si>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</si>
  <si>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</si>
  <si>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</si>
  <si>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Tasas</t>
  </si>
  <si>
    <t>MATERIALES Y SUMINISTROS   *</t>
  </si>
  <si>
    <t>Alimentos y productos agroforestales</t>
  </si>
  <si>
    <t>Alimentos y bebidas para personas</t>
  </si>
  <si>
    <t>Productos agroforestales y pecuarios</t>
  </si>
  <si>
    <t>Productos forestales</t>
  </si>
  <si>
    <t>TEXTILES Y VESTUARIOS</t>
  </si>
  <si>
    <t>,01</t>
  </si>
  <si>
    <t>Acabado textiles</t>
  </si>
  <si>
    <t>Prendas de vestir</t>
  </si>
  <si>
    <t>PRODUCTOS DE CARTÓN E IMPRESOS</t>
  </si>
  <si>
    <t>Papel de escritorio</t>
  </si>
  <si>
    <t xml:space="preserve">Productos de Papel y Cartón </t>
  </si>
  <si>
    <t>Productos de artes gráficas</t>
  </si>
  <si>
    <t>Libros,revistas y periódicos</t>
  </si>
  <si>
    <t>PRODUCTOS FARMACÉUTICOS</t>
  </si>
  <si>
    <t>Productos medicinales para uso humano</t>
  </si>
  <si>
    <t>PRODUCTOS DE CUERO, CAUCHO Y PLASTICO</t>
  </si>
  <si>
    <t>Llantas y neumáticos</t>
  </si>
  <si>
    <t>Artículos de caucho</t>
  </si>
  <si>
    <t>Artículos de plástico</t>
  </si>
  <si>
    <t xml:space="preserve">PRODUCTOS DE MATERIALES METÁLICOS </t>
  </si>
  <si>
    <t>Productos de vidrio, loza y porcelana</t>
  </si>
  <si>
    <t>COMBUSTIBLE, LUBRICANTES, PRODUCTOS                                  *</t>
  </si>
  <si>
    <t>Combustibles y lubricantes</t>
  </si>
  <si>
    <t>Gasolina</t>
  </si>
  <si>
    <t>Gasoil</t>
  </si>
  <si>
    <t>Gas GLP</t>
  </si>
  <si>
    <t>Lubricantes</t>
  </si>
  <si>
    <t>Mantenimiento y reparación de equipo de comunicación</t>
  </si>
  <si>
    <t>pinturss,lacas,y absorventes para pintura</t>
  </si>
  <si>
    <t xml:space="preserve">PRODUCTOS Y UTILES VARIOS </t>
  </si>
  <si>
    <t>Materiales para limpieza</t>
  </si>
  <si>
    <t>Útiles de escritorio, oficina, informática y de enseñanza</t>
  </si>
  <si>
    <t>Útiles destinados a actividades deportivas y recreativas</t>
  </si>
  <si>
    <t>Útiles de cocina y comedor</t>
  </si>
  <si>
    <t>Productos eléctricos y afines</t>
  </si>
  <si>
    <t>Otros respuestos y accssorios menores</t>
  </si>
  <si>
    <t xml:space="preserve">Productos y utiles varios no identificados </t>
  </si>
  <si>
    <t>Productos y utiles varios para activ festivas</t>
  </si>
  <si>
    <t>Bono para actividades festivas</t>
  </si>
  <si>
    <t>TRANSFERENCIAS CORRIENTES</t>
  </si>
  <si>
    <t>TRANSFERENCIAS CORRIENTES AL SECTOR PRIVADO                                *</t>
  </si>
  <si>
    <t xml:space="preserve">Ayudas y Donaciones a Personas </t>
  </si>
  <si>
    <t xml:space="preserve">Ayudas y Donaciones Proramada a Hogares y Personas </t>
  </si>
  <si>
    <t>Ayudas y Donaciones Ocasionales a Hogares y Personas</t>
  </si>
  <si>
    <t>Becas y Viajes de Estudios</t>
  </si>
  <si>
    <t>Becas Nacionales</t>
  </si>
  <si>
    <t>*Becas Extranjeras                      *</t>
  </si>
  <si>
    <t>Transferencia Corrientes a empresas del sector privado</t>
  </si>
  <si>
    <t>Transferencia Corrientes a Asociaciones sin fines de lucro y partidos políticos</t>
  </si>
  <si>
    <t xml:space="preserve">Transferencia Corrientes a Asociaciones sin fines de lucro </t>
  </si>
  <si>
    <t>transferencia para investigación, fomento y desarrollo de la ciencias y la tecnología</t>
  </si>
  <si>
    <t>BIENES MUEBLES, INMUEBLES E INTANGIBLES</t>
  </si>
  <si>
    <t>MOBILIARIO Y EQUIPO</t>
  </si>
  <si>
    <t>Muebles  de oficina y estantería</t>
  </si>
  <si>
    <t>Equipo de Computo</t>
  </si>
  <si>
    <t>Electrodomestico</t>
  </si>
  <si>
    <t>Otros mobiliarios y equipos no identificados</t>
  </si>
  <si>
    <t>MOBILIARIO Y EQUIPO EDUCACIONAL Y RECREATIVO</t>
  </si>
  <si>
    <t>Cámaras fotográficas  de video</t>
  </si>
  <si>
    <t>VEHICULOS Y EQUIPOS DE TRANSPORTE, TRACCION Y ELEVACION</t>
  </si>
  <si>
    <t>Automoviles y Camiones</t>
  </si>
  <si>
    <t>MAQUINARIAS,  OTROS EQUIPOS Y HERRAMIENTAS</t>
  </si>
  <si>
    <t>Sistemas de aire acondicionados, calefacción y refrigeración industrial y comercial</t>
  </si>
  <si>
    <t>Herraqmientas y maquinas-herramientas</t>
  </si>
  <si>
    <t>EQUIPO DE DEFENZA Y SEGURIDAD</t>
  </si>
  <si>
    <t>Equipo de defenza</t>
  </si>
  <si>
    <t>BIENES INTANGIBLES        *</t>
  </si>
  <si>
    <t>Investigación y Dearrollo</t>
  </si>
  <si>
    <t>Programas de informáticas y base de datos</t>
  </si>
  <si>
    <t xml:space="preserve">Programas de  informática </t>
  </si>
  <si>
    <t>Base de datos</t>
  </si>
  <si>
    <t>Estudios de preinversión       *</t>
  </si>
  <si>
    <t>Licencias informáticas e intelectuales</t>
  </si>
  <si>
    <t>Informáticas</t>
  </si>
  <si>
    <t>TOTAL GENERAL</t>
  </si>
  <si>
    <t xml:space="preserve">       Lic. Patria Martínez                                                                                                  Enc. División de Administrativa y Financiera                                                      </t>
  </si>
  <si>
    <t>OBJETAL</t>
  </si>
  <si>
    <t>NOVIMBRE</t>
  </si>
  <si>
    <t>CONSEJO NACIONAL DE INVESTIGACIONES AGROPECUARIAS Y FORESTALES</t>
  </si>
  <si>
    <t>Licencias  Informaticas e Intelectuales</t>
  </si>
  <si>
    <t>Informaticas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</si>
  <si>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</si>
  <si>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equipos </t>
  </si>
  <si>
    <t>Equipo de genracion electrica</t>
  </si>
  <si>
    <t>EJECUCION PRESUPUESTARIA MES DE MAYO ,2018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</si>
</sst>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&quot;-&quot;??_-;_-@_-"/>
    <numFmt numFmtId="173" formatCode="0\3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Verdana"/>
      <family val="2"/>
    </font>
    <font>
      <sz val="8"/>
      <color indexed="40"/>
      <name val="Verdana"/>
      <family val="2"/>
    </font>
    <font>
      <b/>
      <sz val="8"/>
      <color indexed="17"/>
      <name val="Verdana"/>
      <family val="2"/>
    </font>
    <font>
      <b/>
      <sz val="10"/>
      <color indexed="10"/>
      <name val="Verdana"/>
      <family val="2"/>
    </font>
    <font>
      <b/>
      <sz val="8"/>
      <color indexed="8"/>
      <name val="Times New Roman"/>
      <family val="1"/>
    </font>
    <font>
      <sz val="7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Verdana"/>
      <family val="2"/>
    </font>
    <font>
      <sz val="8"/>
      <color rgb="FF00B0F0"/>
      <name val="Verdana"/>
      <family val="2"/>
    </font>
    <font>
      <b/>
      <sz val="8"/>
      <color rgb="FF00B050"/>
      <name val="Verdana"/>
      <family val="2"/>
    </font>
    <font>
      <b/>
      <sz val="10"/>
      <color rgb="FFFF0000"/>
      <name val="Verdana"/>
      <family val="2"/>
    </font>
    <font>
      <b/>
      <sz val="8"/>
      <color theme="1"/>
      <name val="Times New Roman"/>
      <family val="1"/>
    </font>
    <font>
      <sz val="7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6" fillId="0" borderId="0" xfId="47" applyNumberFormat="1" applyFont="1" applyAlignment="1">
      <alignment/>
    </xf>
    <xf numFmtId="4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43" fontId="7" fillId="0" borderId="0" xfId="47" applyNumberFormat="1" applyFont="1" applyAlignment="1">
      <alignment/>
    </xf>
    <xf numFmtId="0" fontId="48" fillId="33" borderId="0" xfId="0" applyFont="1" applyFill="1" applyAlignment="1">
      <alignment/>
    </xf>
    <xf numFmtId="43" fontId="0" fillId="0" borderId="0" xfId="47" applyNumberFormat="1" applyFont="1" applyAlignment="1">
      <alignment/>
    </xf>
    <xf numFmtId="43" fontId="7" fillId="0" borderId="0" xfId="0" applyNumberFormat="1" applyFont="1" applyAlignment="1">
      <alignment/>
    </xf>
    <xf numFmtId="0" fontId="49" fillId="0" borderId="0" xfId="0" applyFont="1" applyAlignment="1">
      <alignment horizontal="left" indent="31"/>
    </xf>
    <xf numFmtId="0" fontId="0" fillId="33" borderId="0" xfId="0" applyFill="1" applyAlignment="1">
      <alignment/>
    </xf>
    <xf numFmtId="172" fontId="0" fillId="0" borderId="0" xfId="0" applyNumberFormat="1" applyAlignment="1">
      <alignment/>
    </xf>
    <xf numFmtId="43" fontId="0" fillId="33" borderId="0" xfId="0" applyNumberFormat="1" applyFill="1" applyAlignment="1">
      <alignment/>
    </xf>
    <xf numFmtId="172" fontId="7" fillId="0" borderId="0" xfId="0" applyNumberFormat="1" applyFont="1" applyAlignment="1">
      <alignment/>
    </xf>
    <xf numFmtId="43" fontId="50" fillId="0" borderId="0" xfId="47" applyNumberFormat="1" applyFont="1" applyAlignment="1">
      <alignment/>
    </xf>
    <xf numFmtId="43" fontId="0" fillId="0" borderId="0" xfId="0" applyNumberFormat="1" applyAlignment="1">
      <alignment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72" fontId="5" fillId="33" borderId="10" xfId="0" applyNumberFormat="1" applyFont="1" applyFill="1" applyBorder="1" applyAlignment="1">
      <alignment wrapText="1"/>
    </xf>
    <xf numFmtId="43" fontId="4" fillId="33" borderId="10" xfId="47" applyNumberFormat="1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43" fontId="5" fillId="33" borderId="10" xfId="47" applyNumberFormat="1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33" borderId="17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5" fillId="33" borderId="20" xfId="0" applyFont="1" applyFill="1" applyBorder="1" applyAlignment="1">
      <alignment wrapText="1"/>
    </xf>
    <xf numFmtId="0" fontId="5" fillId="33" borderId="21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172" fontId="4" fillId="33" borderId="0" xfId="0" applyNumberFormat="1" applyFont="1" applyFill="1" applyBorder="1" applyAlignment="1">
      <alignment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9" fontId="4" fillId="33" borderId="27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28" xfId="0" applyNumberFormat="1" applyFont="1" applyFill="1" applyBorder="1" applyAlignment="1">
      <alignment horizontal="center" vertical="center" wrapText="1"/>
    </xf>
    <xf numFmtId="173" fontId="5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43" fontId="8" fillId="33" borderId="0" xfId="0" applyNumberFormat="1" applyFont="1" applyFill="1" applyAlignment="1">
      <alignment/>
    </xf>
    <xf numFmtId="172" fontId="8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3" fontId="51" fillId="33" borderId="10" xfId="47" applyNumberFormat="1" applyFont="1" applyFill="1" applyBorder="1" applyAlignment="1">
      <alignment wrapText="1"/>
    </xf>
    <xf numFmtId="1" fontId="4" fillId="33" borderId="27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43" fontId="4" fillId="33" borderId="32" xfId="47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wrapText="1"/>
    </xf>
    <xf numFmtId="172" fontId="4" fillId="33" borderId="34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172" fontId="52" fillId="33" borderId="0" xfId="0" applyNumberFormat="1" applyFont="1" applyFill="1" applyAlignment="1">
      <alignment/>
    </xf>
    <xf numFmtId="172" fontId="31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172" fontId="4" fillId="33" borderId="10" xfId="47" applyFont="1" applyFill="1" applyBorder="1" applyAlignment="1">
      <alignment wrapText="1"/>
    </xf>
    <xf numFmtId="0" fontId="0" fillId="0" borderId="0" xfId="0" applyAlignment="1">
      <alignment/>
    </xf>
    <xf numFmtId="172" fontId="5" fillId="33" borderId="34" xfId="0" applyNumberFormat="1" applyFont="1" applyFill="1" applyBorder="1" applyAlignment="1">
      <alignment wrapText="1"/>
    </xf>
    <xf numFmtId="172" fontId="5" fillId="33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3" fontId="5" fillId="33" borderId="34" xfId="47" applyNumberFormat="1" applyFont="1" applyFill="1" applyBorder="1" applyAlignment="1">
      <alignment wrapText="1"/>
    </xf>
    <xf numFmtId="43" fontId="0" fillId="0" borderId="0" xfId="47" applyNumberFormat="1" applyFont="1" applyAlignment="1">
      <alignment/>
    </xf>
    <xf numFmtId="9" fontId="0" fillId="0" borderId="0" xfId="0" applyNumberFormat="1" applyAlignment="1">
      <alignment/>
    </xf>
    <xf numFmtId="9" fontId="46" fillId="0" borderId="0" xfId="53" applyFont="1" applyAlignment="1">
      <alignment/>
    </xf>
    <xf numFmtId="9" fontId="0" fillId="0" borderId="0" xfId="53" applyFont="1" applyAlignment="1">
      <alignment/>
    </xf>
    <xf numFmtId="9" fontId="0" fillId="0" borderId="0" xfId="53" applyFont="1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1" fontId="47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3" fillId="33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5"/>
  <sheetViews>
    <sheetView tabSelected="1" zoomScalePageLayoutView="0" workbookViewId="0" topLeftCell="A1">
      <selection activeCell="I11" sqref="I11"/>
    </sheetView>
  </sheetViews>
  <sheetFormatPr defaultColWidth="11.421875" defaultRowHeight="15"/>
  <cols>
    <col min="1" max="1" width="1.7109375" style="0" customWidth="1"/>
    <col min="2" max="2" width="1.8515625" style="0" customWidth="1"/>
    <col min="3" max="3" width="2.421875" style="0" customWidth="1"/>
    <col min="4" max="4" width="2.8515625" style="0" customWidth="1"/>
    <col min="5" max="5" width="3.00390625" style="69" customWidth="1"/>
    <col min="6" max="6" width="32.57421875" style="0" customWidth="1"/>
    <col min="7" max="7" width="11.7109375" style="0" customWidth="1"/>
    <col min="8" max="8" width="10.57421875" style="0" customWidth="1"/>
    <col min="9" max="9" width="10.7109375" style="0" customWidth="1"/>
    <col min="10" max="10" width="11.00390625" style="0" customWidth="1"/>
    <col min="11" max="11" width="10.7109375" style="0" customWidth="1"/>
    <col min="12" max="12" width="11.140625" style="0" customWidth="1"/>
    <col min="13" max="13" width="10.57421875" style="0" customWidth="1"/>
    <col min="14" max="14" width="9.00390625" style="0" customWidth="1"/>
    <col min="15" max="15" width="9.57421875" style="0" customWidth="1"/>
    <col min="16" max="16" width="9.28125" style="0" customWidth="1"/>
    <col min="17" max="17" width="9.421875" style="0" customWidth="1"/>
    <col min="18" max="18" width="11.421875" style="0" hidden="1" customWidth="1"/>
    <col min="19" max="19" width="9.421875" style="0" customWidth="1"/>
    <col min="20" max="20" width="9.421875" style="73" customWidth="1"/>
    <col min="21" max="21" width="12.140625" style="0" customWidth="1"/>
    <col min="22" max="22" width="11.7109375" style="0" customWidth="1"/>
  </cols>
  <sheetData>
    <row r="1" spans="5:6" s="74" customFormat="1" ht="15">
      <c r="E1" s="69"/>
      <c r="F1" s="74" t="s">
        <v>197</v>
      </c>
    </row>
    <row r="2" spans="5:6" s="74" customFormat="1" ht="15.75" thickBot="1">
      <c r="E2" s="69"/>
      <c r="F2" s="74" t="s">
        <v>203</v>
      </c>
    </row>
    <row r="3" spans="1:22" ht="26.25" thickBot="1">
      <c r="A3" s="104" t="s">
        <v>195</v>
      </c>
      <c r="B3" s="105"/>
      <c r="C3" s="105"/>
      <c r="D3" s="105"/>
      <c r="E3" s="106"/>
      <c r="F3" s="77" t="s">
        <v>0</v>
      </c>
      <c r="G3" s="78" t="s">
        <v>1</v>
      </c>
      <c r="H3" s="79" t="s">
        <v>11</v>
      </c>
      <c r="I3" s="79" t="s">
        <v>12</v>
      </c>
      <c r="J3" s="79" t="s">
        <v>13</v>
      </c>
      <c r="K3" s="79" t="s">
        <v>2</v>
      </c>
      <c r="L3" s="79" t="s">
        <v>3</v>
      </c>
      <c r="M3" s="79" t="s">
        <v>4</v>
      </c>
      <c r="N3" s="79" t="s">
        <v>5</v>
      </c>
      <c r="O3" s="79" t="s">
        <v>6</v>
      </c>
      <c r="P3" s="79" t="s">
        <v>7</v>
      </c>
      <c r="Q3" s="79" t="s">
        <v>14</v>
      </c>
      <c r="R3" s="79" t="s">
        <v>8</v>
      </c>
      <c r="S3" s="79" t="s">
        <v>196</v>
      </c>
      <c r="T3" s="79" t="s">
        <v>9</v>
      </c>
      <c r="U3" s="79" t="s">
        <v>15</v>
      </c>
      <c r="V3" s="80" t="s">
        <v>10</v>
      </c>
    </row>
    <row r="4" spans="1:23" ht="23.25" thickBot="1">
      <c r="A4" s="21">
        <v>2</v>
      </c>
      <c r="B4" s="22">
        <v>1</v>
      </c>
      <c r="C4" s="22"/>
      <c r="D4" s="22"/>
      <c r="E4" s="51"/>
      <c r="F4" s="83" t="s">
        <v>16</v>
      </c>
      <c r="G4" s="26">
        <f aca="true" t="shared" si="0" ref="G4:Q4">G6+G21+G30+G37+G41</f>
        <v>36939631</v>
      </c>
      <c r="H4" s="26">
        <f t="shared" si="0"/>
        <v>2613820.8499999996</v>
      </c>
      <c r="I4" s="26">
        <f t="shared" si="0"/>
        <v>73517</v>
      </c>
      <c r="J4" s="26">
        <f t="shared" si="0"/>
        <v>5248458.649999999</v>
      </c>
      <c r="K4" s="26">
        <f t="shared" si="0"/>
        <v>3576088</v>
      </c>
      <c r="L4" s="26">
        <f t="shared" si="0"/>
        <v>2782543.13</v>
      </c>
      <c r="M4" s="26">
        <f t="shared" si="0"/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/>
      <c r="S4" s="26"/>
      <c r="T4" s="26"/>
      <c r="U4" s="26">
        <f>U6+U21+U30+U37+U41</f>
        <v>14294427.629999999</v>
      </c>
      <c r="V4" s="26">
        <f aca="true" t="shared" si="1" ref="V4:V28">G4-U4</f>
        <v>22645203.37</v>
      </c>
      <c r="W4" s="98">
        <f>+U4/G4</f>
        <v>0.3869672555743721</v>
      </c>
    </row>
    <row r="5" spans="1:22" ht="15">
      <c r="A5" s="23"/>
      <c r="B5" s="24"/>
      <c r="C5" s="24"/>
      <c r="D5" s="24"/>
      <c r="E5" s="52"/>
      <c r="F5" s="83"/>
      <c r="G5" s="26"/>
      <c r="H5" s="30"/>
      <c r="I5" s="30"/>
      <c r="J5" s="30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6">
        <f t="shared" si="1"/>
        <v>0</v>
      </c>
    </row>
    <row r="6" spans="1:22" ht="15">
      <c r="A6" s="27">
        <v>2</v>
      </c>
      <c r="B6" s="1">
        <v>1</v>
      </c>
      <c r="C6" s="1">
        <v>1</v>
      </c>
      <c r="D6" s="1"/>
      <c r="E6" s="53"/>
      <c r="F6" s="1" t="s">
        <v>17</v>
      </c>
      <c r="G6" s="26">
        <f aca="true" t="shared" si="2" ref="G6:Q6">G7+G9+G15+G16+G17</f>
        <v>31594120</v>
      </c>
      <c r="H6" s="26">
        <f t="shared" si="2"/>
        <v>2275379.36</v>
      </c>
      <c r="I6" s="26">
        <f t="shared" si="2"/>
        <v>30000</v>
      </c>
      <c r="J6" s="26">
        <f t="shared" si="2"/>
        <v>4522438.72</v>
      </c>
      <c r="K6" s="26">
        <f t="shared" si="2"/>
        <v>3183099.67</v>
      </c>
      <c r="L6" s="26">
        <f t="shared" si="2"/>
        <v>2380619.36</v>
      </c>
      <c r="M6" s="26">
        <f t="shared" si="2"/>
        <v>0</v>
      </c>
      <c r="N6" s="26">
        <f t="shared" si="2"/>
        <v>0</v>
      </c>
      <c r="O6" s="26">
        <f t="shared" si="2"/>
        <v>0</v>
      </c>
      <c r="P6" s="26">
        <f t="shared" si="2"/>
        <v>0</v>
      </c>
      <c r="Q6" s="26">
        <f t="shared" si="2"/>
        <v>0</v>
      </c>
      <c r="R6" s="26"/>
      <c r="S6" s="26"/>
      <c r="T6" s="26"/>
      <c r="U6" s="26">
        <f>U7+U9+U15+U16+U17</f>
        <v>12391537.11</v>
      </c>
      <c r="V6" s="26">
        <f t="shared" si="1"/>
        <v>19202582.89</v>
      </c>
    </row>
    <row r="7" spans="1:22" ht="15">
      <c r="A7" s="27">
        <v>2</v>
      </c>
      <c r="B7" s="1">
        <v>1</v>
      </c>
      <c r="C7" s="1">
        <v>1</v>
      </c>
      <c r="D7" s="1">
        <v>1</v>
      </c>
      <c r="E7" s="53"/>
      <c r="F7" s="1" t="s">
        <v>18</v>
      </c>
      <c r="G7" s="26">
        <f>G8</f>
        <v>28464120</v>
      </c>
      <c r="H7" s="26">
        <f aca="true" t="shared" si="3" ref="H7:U7">H8</f>
        <v>2088668.2</v>
      </c>
      <c r="I7" s="26">
        <f t="shared" si="3"/>
        <v>0</v>
      </c>
      <c r="J7" s="26">
        <f t="shared" si="3"/>
        <v>4441238.72</v>
      </c>
      <c r="K7" s="26">
        <f t="shared" si="3"/>
        <v>2980993.13</v>
      </c>
      <c r="L7" s="26">
        <f t="shared" si="3"/>
        <v>2380619.36</v>
      </c>
      <c r="M7" s="26">
        <f t="shared" si="3"/>
        <v>0</v>
      </c>
      <c r="N7" s="26">
        <f t="shared" si="3"/>
        <v>0</v>
      </c>
      <c r="O7" s="26">
        <f t="shared" si="3"/>
        <v>0</v>
      </c>
      <c r="P7" s="26">
        <f t="shared" si="3"/>
        <v>0</v>
      </c>
      <c r="Q7" s="26">
        <f t="shared" si="3"/>
        <v>0</v>
      </c>
      <c r="R7" s="26"/>
      <c r="S7" s="26"/>
      <c r="T7" s="26"/>
      <c r="U7" s="26">
        <f t="shared" si="3"/>
        <v>11891519.41</v>
      </c>
      <c r="V7" s="26">
        <f t="shared" si="1"/>
        <v>16572600.59</v>
      </c>
    </row>
    <row r="8" spans="1:23" ht="15">
      <c r="A8" s="28">
        <v>2</v>
      </c>
      <c r="B8" s="29">
        <v>1</v>
      </c>
      <c r="C8" s="29">
        <v>1</v>
      </c>
      <c r="D8" s="29">
        <v>1</v>
      </c>
      <c r="E8" s="54" t="s">
        <v>19</v>
      </c>
      <c r="F8" s="29" t="s">
        <v>20</v>
      </c>
      <c r="G8" s="30">
        <v>28464120</v>
      </c>
      <c r="H8" s="30">
        <v>2088668.2</v>
      </c>
      <c r="I8" s="30">
        <v>0</v>
      </c>
      <c r="J8" s="30">
        <f>2220619.36+2220619.36</f>
        <v>4441238.72</v>
      </c>
      <c r="K8" s="25">
        <f>130000+2720993.13+130000</f>
        <v>2980993.13</v>
      </c>
      <c r="L8" s="25">
        <v>2380619.36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/>
      <c r="S8" s="25"/>
      <c r="T8" s="25"/>
      <c r="U8" s="30">
        <f>+H8+I8+J8+K8+L8+M8+N8+O8+P8+Q8+S8+T8</f>
        <v>11891519.41</v>
      </c>
      <c r="V8" s="26">
        <f t="shared" si="1"/>
        <v>16572600.59</v>
      </c>
      <c r="W8" s="98">
        <f>+U8/G8</f>
        <v>0.41777224836039195</v>
      </c>
    </row>
    <row r="9" spans="1:22" ht="22.5">
      <c r="A9" s="27">
        <v>2</v>
      </c>
      <c r="B9" s="1">
        <v>1</v>
      </c>
      <c r="C9" s="1">
        <v>1</v>
      </c>
      <c r="D9" s="1">
        <v>2</v>
      </c>
      <c r="E9" s="53"/>
      <c r="F9" s="83" t="s">
        <v>21</v>
      </c>
      <c r="G9" s="26">
        <f>G10+G11+G12+G13+G14</f>
        <v>850000</v>
      </c>
      <c r="H9" s="26">
        <f>H10+H11+H12+H13+H14</f>
        <v>186711.16</v>
      </c>
      <c r="I9" s="89">
        <f>+I10+I11+I12+I13+I14</f>
        <v>30000</v>
      </c>
      <c r="J9" s="26">
        <f>J10+J11+J12+J13+J14</f>
        <v>81200</v>
      </c>
      <c r="K9" s="26">
        <f aca="true" t="shared" si="4" ref="K9:Q9">K10+K11+K12+K13+K14</f>
        <v>25600</v>
      </c>
      <c r="L9" s="26">
        <f t="shared" si="4"/>
        <v>0</v>
      </c>
      <c r="M9" s="26">
        <f t="shared" si="4"/>
        <v>0</v>
      </c>
      <c r="N9" s="26">
        <f t="shared" si="4"/>
        <v>0</v>
      </c>
      <c r="O9" s="26">
        <f t="shared" si="4"/>
        <v>0</v>
      </c>
      <c r="P9" s="26">
        <f t="shared" si="4"/>
        <v>0</v>
      </c>
      <c r="Q9" s="26">
        <f t="shared" si="4"/>
        <v>0</v>
      </c>
      <c r="R9" s="26">
        <f>SUM(H9:I9)</f>
        <v>216711.16</v>
      </c>
      <c r="S9" s="26"/>
      <c r="T9" s="26"/>
      <c r="U9" s="26">
        <f>U10+U11+U12+U13+U14</f>
        <v>323511.16000000003</v>
      </c>
      <c r="V9" s="26">
        <f t="shared" si="1"/>
        <v>526488.84</v>
      </c>
    </row>
    <row r="10" spans="1:22" ht="15">
      <c r="A10" s="28">
        <v>2</v>
      </c>
      <c r="B10" s="29">
        <v>1</v>
      </c>
      <c r="C10" s="29">
        <v>1</v>
      </c>
      <c r="D10" s="29">
        <v>2</v>
      </c>
      <c r="E10" s="54" t="s">
        <v>19</v>
      </c>
      <c r="F10" s="84" t="s">
        <v>22</v>
      </c>
      <c r="G10" s="30">
        <v>400000</v>
      </c>
      <c r="H10" s="30">
        <v>24760</v>
      </c>
      <c r="I10" s="30">
        <v>0</v>
      </c>
      <c r="J10" s="30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/>
      <c r="S10" s="25"/>
      <c r="T10" s="25"/>
      <c r="U10" s="30">
        <f aca="true" t="shared" si="5" ref="U10:U16">+H10+I10+J10+K10+L10+M10+N10+O10+P10+Q10+R10+S10</f>
        <v>24760</v>
      </c>
      <c r="V10" s="26">
        <f t="shared" si="1"/>
        <v>375240</v>
      </c>
    </row>
    <row r="11" spans="1:22" ht="15">
      <c r="A11" s="28">
        <v>2</v>
      </c>
      <c r="B11" s="29">
        <v>1</v>
      </c>
      <c r="C11" s="29">
        <v>1</v>
      </c>
      <c r="D11" s="29">
        <v>2</v>
      </c>
      <c r="E11" s="54" t="s">
        <v>23</v>
      </c>
      <c r="F11" s="84" t="s">
        <v>24</v>
      </c>
      <c r="G11" s="30">
        <v>0</v>
      </c>
      <c r="H11" s="30"/>
      <c r="I11" s="30"/>
      <c r="J11" s="30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0">
        <f t="shared" si="5"/>
        <v>0</v>
      </c>
      <c r="V11" s="26">
        <f t="shared" si="1"/>
        <v>0</v>
      </c>
    </row>
    <row r="12" spans="1:22" ht="15">
      <c r="A12" s="28">
        <v>2</v>
      </c>
      <c r="B12" s="29">
        <v>1</v>
      </c>
      <c r="C12" s="29">
        <v>1</v>
      </c>
      <c r="D12" s="29">
        <v>2</v>
      </c>
      <c r="E12" s="54" t="s">
        <v>25</v>
      </c>
      <c r="F12" s="84" t="s">
        <v>26</v>
      </c>
      <c r="G12" s="30">
        <v>150000</v>
      </c>
      <c r="H12" s="30">
        <v>0</v>
      </c>
      <c r="I12" s="30">
        <v>0</v>
      </c>
      <c r="J12" s="30">
        <f>25600+25600</f>
        <v>51200</v>
      </c>
      <c r="K12" s="25">
        <v>25600</v>
      </c>
      <c r="L12" s="25"/>
      <c r="M12" s="25"/>
      <c r="N12" s="25"/>
      <c r="O12" s="25"/>
      <c r="P12" s="25"/>
      <c r="Q12" s="25"/>
      <c r="R12" s="25"/>
      <c r="S12" s="25"/>
      <c r="T12" s="25"/>
      <c r="U12" s="30">
        <f t="shared" si="5"/>
        <v>76800</v>
      </c>
      <c r="V12" s="26">
        <f t="shared" si="1"/>
        <v>73200</v>
      </c>
    </row>
    <row r="13" spans="1:22" ht="15">
      <c r="A13" s="28">
        <v>2</v>
      </c>
      <c r="B13" s="29">
        <v>1</v>
      </c>
      <c r="C13" s="29">
        <v>1</v>
      </c>
      <c r="D13" s="29">
        <v>2</v>
      </c>
      <c r="E13" s="54" t="s">
        <v>27</v>
      </c>
      <c r="F13" s="29" t="s">
        <v>28</v>
      </c>
      <c r="G13" s="30">
        <v>0</v>
      </c>
      <c r="H13" s="30"/>
      <c r="I13" s="30">
        <v>0</v>
      </c>
      <c r="J13" s="30"/>
      <c r="K13" s="25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30">
        <f t="shared" si="5"/>
        <v>0</v>
      </c>
      <c r="V13" s="26">
        <f t="shared" si="1"/>
        <v>0</v>
      </c>
    </row>
    <row r="14" spans="1:22" ht="23.25">
      <c r="A14" s="28">
        <v>2</v>
      </c>
      <c r="B14" s="29">
        <v>1</v>
      </c>
      <c r="C14" s="29">
        <v>1</v>
      </c>
      <c r="D14" s="29">
        <v>2</v>
      </c>
      <c r="E14" s="54" t="s">
        <v>29</v>
      </c>
      <c r="F14" s="29" t="s">
        <v>30</v>
      </c>
      <c r="G14" s="30">
        <v>300000</v>
      </c>
      <c r="H14" s="30">
        <v>161951.16</v>
      </c>
      <c r="I14" s="30">
        <v>30000</v>
      </c>
      <c r="J14" s="30">
        <v>30000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/>
      <c r="S14" s="25"/>
      <c r="T14" s="25"/>
      <c r="U14" s="30">
        <f t="shared" si="5"/>
        <v>221951.16</v>
      </c>
      <c r="V14" s="26">
        <f t="shared" si="1"/>
        <v>78048.84</v>
      </c>
    </row>
    <row r="15" spans="1:22" ht="22.5">
      <c r="A15" s="27">
        <v>2</v>
      </c>
      <c r="B15" s="1">
        <v>1</v>
      </c>
      <c r="C15" s="1">
        <v>1</v>
      </c>
      <c r="D15" s="1">
        <v>3</v>
      </c>
      <c r="E15" s="53"/>
      <c r="F15" s="1" t="s">
        <v>31</v>
      </c>
      <c r="G15" s="26">
        <v>0</v>
      </c>
      <c r="H15" s="26"/>
      <c r="I15" s="26"/>
      <c r="J15" s="26"/>
      <c r="K15" s="25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30">
        <f t="shared" si="5"/>
        <v>0</v>
      </c>
      <c r="V15" s="26">
        <f t="shared" si="1"/>
        <v>0</v>
      </c>
    </row>
    <row r="16" spans="1:22" ht="15">
      <c r="A16" s="27">
        <v>2</v>
      </c>
      <c r="B16" s="1">
        <v>1</v>
      </c>
      <c r="C16" s="1">
        <v>1</v>
      </c>
      <c r="D16" s="1">
        <v>4</v>
      </c>
      <c r="E16" s="53"/>
      <c r="F16" s="1" t="s">
        <v>32</v>
      </c>
      <c r="G16" s="26">
        <v>2280000</v>
      </c>
      <c r="H16" s="26">
        <v>0</v>
      </c>
      <c r="I16" s="26">
        <v>0</v>
      </c>
      <c r="J16" s="26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31"/>
      <c r="S16" s="31"/>
      <c r="T16" s="31"/>
      <c r="U16" s="30">
        <f t="shared" si="5"/>
        <v>0</v>
      </c>
      <c r="V16" s="26">
        <f t="shared" si="1"/>
        <v>2280000</v>
      </c>
    </row>
    <row r="17" spans="1:22" ht="15">
      <c r="A17" s="27">
        <v>2</v>
      </c>
      <c r="B17" s="1">
        <v>1</v>
      </c>
      <c r="C17" s="1">
        <v>1</v>
      </c>
      <c r="D17" s="1">
        <v>5</v>
      </c>
      <c r="E17" s="53"/>
      <c r="F17" s="1" t="s">
        <v>33</v>
      </c>
      <c r="G17" s="26">
        <f>+G18</f>
        <v>0</v>
      </c>
      <c r="H17" s="26">
        <f aca="true" t="shared" si="6" ref="H17:Q17">+H18</f>
        <v>0</v>
      </c>
      <c r="I17" s="26">
        <f t="shared" si="6"/>
        <v>0</v>
      </c>
      <c r="J17" s="26">
        <f t="shared" si="6"/>
        <v>0</v>
      </c>
      <c r="K17" s="26">
        <f>+K19+K20</f>
        <v>176506.54</v>
      </c>
      <c r="L17" s="26">
        <f t="shared" si="6"/>
        <v>0</v>
      </c>
      <c r="M17" s="26">
        <f t="shared" si="6"/>
        <v>0</v>
      </c>
      <c r="N17" s="26">
        <f t="shared" si="6"/>
        <v>0</v>
      </c>
      <c r="O17" s="26">
        <f t="shared" si="6"/>
        <v>0</v>
      </c>
      <c r="P17" s="26">
        <f t="shared" si="6"/>
        <v>0</v>
      </c>
      <c r="Q17" s="26">
        <f t="shared" si="6"/>
        <v>0</v>
      </c>
      <c r="R17" s="26"/>
      <c r="S17" s="26"/>
      <c r="T17" s="26"/>
      <c r="U17" s="26">
        <f>+K17</f>
        <v>176506.54</v>
      </c>
      <c r="V17" s="26">
        <f t="shared" si="1"/>
        <v>-176506.54</v>
      </c>
    </row>
    <row r="18" spans="1:22" ht="15">
      <c r="A18" s="28">
        <v>2</v>
      </c>
      <c r="B18" s="29">
        <v>1</v>
      </c>
      <c r="C18" s="29">
        <v>1</v>
      </c>
      <c r="D18" s="29">
        <v>5</v>
      </c>
      <c r="E18" s="54" t="s">
        <v>35</v>
      </c>
      <c r="F18" s="29" t="s">
        <v>33</v>
      </c>
      <c r="G18" s="30">
        <v>0</v>
      </c>
      <c r="H18" s="30"/>
      <c r="I18" s="30"/>
      <c r="J18" s="30"/>
      <c r="K18" s="25"/>
      <c r="L18" s="25"/>
      <c r="M18" s="25"/>
      <c r="N18" s="25"/>
      <c r="O18" s="25">
        <v>0</v>
      </c>
      <c r="P18" s="25"/>
      <c r="Q18" s="25"/>
      <c r="R18" s="25"/>
      <c r="S18" s="25"/>
      <c r="T18" s="25"/>
      <c r="U18" s="30">
        <f>+H18+I18+J18+K18+L18+M18+N18+O18+P18+Q18+R18+S18</f>
        <v>0</v>
      </c>
      <c r="V18" s="26">
        <f t="shared" si="1"/>
        <v>0</v>
      </c>
    </row>
    <row r="19" spans="1:22" s="90" customFormat="1" ht="15">
      <c r="A19" s="28">
        <v>2</v>
      </c>
      <c r="B19" s="29">
        <v>1</v>
      </c>
      <c r="C19" s="29">
        <v>1</v>
      </c>
      <c r="D19" s="29">
        <v>5</v>
      </c>
      <c r="E19" s="54" t="s">
        <v>25</v>
      </c>
      <c r="F19" s="29"/>
      <c r="G19" s="30"/>
      <c r="H19" s="30"/>
      <c r="I19" s="30"/>
      <c r="J19" s="30"/>
      <c r="K19" s="25">
        <v>162795.42</v>
      </c>
      <c r="L19" s="25"/>
      <c r="M19" s="25"/>
      <c r="N19" s="25"/>
      <c r="O19" s="25"/>
      <c r="P19" s="25"/>
      <c r="Q19" s="25"/>
      <c r="R19" s="25"/>
      <c r="S19" s="25"/>
      <c r="T19" s="25"/>
      <c r="U19" s="30">
        <f>+K19</f>
        <v>162795.42</v>
      </c>
      <c r="V19" s="26">
        <f t="shared" si="1"/>
        <v>-162795.42</v>
      </c>
    </row>
    <row r="20" spans="1:22" s="90" customFormat="1" ht="15">
      <c r="A20" s="28">
        <v>2</v>
      </c>
      <c r="B20" s="29">
        <v>1</v>
      </c>
      <c r="C20" s="29">
        <v>1</v>
      </c>
      <c r="D20" s="29">
        <v>5</v>
      </c>
      <c r="E20" s="54" t="s">
        <v>27</v>
      </c>
      <c r="F20" s="29"/>
      <c r="G20" s="30"/>
      <c r="H20" s="30"/>
      <c r="I20" s="30"/>
      <c r="J20" s="30"/>
      <c r="K20" s="25">
        <v>13711.12</v>
      </c>
      <c r="L20" s="25"/>
      <c r="M20" s="25"/>
      <c r="N20" s="25"/>
      <c r="O20" s="25"/>
      <c r="P20" s="25"/>
      <c r="Q20" s="25"/>
      <c r="R20" s="25"/>
      <c r="S20" s="25"/>
      <c r="T20" s="25"/>
      <c r="U20" s="30">
        <f>+K20</f>
        <v>13711.12</v>
      </c>
      <c r="V20" s="26">
        <f t="shared" si="1"/>
        <v>-13711.12</v>
      </c>
    </row>
    <row r="21" spans="1:22" ht="15">
      <c r="A21" s="27">
        <v>2</v>
      </c>
      <c r="B21" s="1">
        <v>1</v>
      </c>
      <c r="C21" s="1">
        <v>2</v>
      </c>
      <c r="D21" s="29"/>
      <c r="E21" s="55"/>
      <c r="F21" s="1" t="s">
        <v>36</v>
      </c>
      <c r="G21" s="26">
        <f>+G22</f>
        <v>1061510</v>
      </c>
      <c r="H21" s="26">
        <f aca="true" t="shared" si="7" ref="H21:U21">+H22</f>
        <v>16250</v>
      </c>
      <c r="I21" s="26">
        <f t="shared" si="7"/>
        <v>16250</v>
      </c>
      <c r="J21" s="26">
        <f t="shared" si="7"/>
        <v>16250</v>
      </c>
      <c r="K21" s="26">
        <f t="shared" si="7"/>
        <v>16250</v>
      </c>
      <c r="L21" s="26">
        <f t="shared" si="7"/>
        <v>16250</v>
      </c>
      <c r="M21" s="26">
        <f t="shared" si="7"/>
        <v>0</v>
      </c>
      <c r="N21" s="26">
        <f t="shared" si="7"/>
        <v>0</v>
      </c>
      <c r="O21" s="26">
        <f t="shared" si="7"/>
        <v>0</v>
      </c>
      <c r="P21" s="26">
        <f t="shared" si="7"/>
        <v>0</v>
      </c>
      <c r="Q21" s="26">
        <f t="shared" si="7"/>
        <v>0</v>
      </c>
      <c r="R21" s="26">
        <f t="shared" si="7"/>
        <v>0</v>
      </c>
      <c r="S21" s="26">
        <f t="shared" si="7"/>
        <v>0</v>
      </c>
      <c r="T21" s="26"/>
      <c r="U21" s="26">
        <f t="shared" si="7"/>
        <v>81250</v>
      </c>
      <c r="V21" s="26">
        <f t="shared" si="1"/>
        <v>980260</v>
      </c>
    </row>
    <row r="22" spans="1:22" ht="15">
      <c r="A22" s="27">
        <v>2</v>
      </c>
      <c r="B22" s="1">
        <v>1</v>
      </c>
      <c r="C22" s="1">
        <v>2</v>
      </c>
      <c r="D22" s="1">
        <v>2</v>
      </c>
      <c r="E22" s="53"/>
      <c r="F22" s="1" t="s">
        <v>37</v>
      </c>
      <c r="G22" s="26">
        <f aca="true" t="shared" si="8" ref="G22:Q22">SUM(G23:G28)</f>
        <v>1061510</v>
      </c>
      <c r="H22" s="26">
        <f t="shared" si="8"/>
        <v>16250</v>
      </c>
      <c r="I22" s="26">
        <f t="shared" si="8"/>
        <v>16250</v>
      </c>
      <c r="J22" s="26">
        <f t="shared" si="8"/>
        <v>16250</v>
      </c>
      <c r="K22" s="26">
        <f t="shared" si="8"/>
        <v>16250</v>
      </c>
      <c r="L22" s="26">
        <f t="shared" si="8"/>
        <v>16250</v>
      </c>
      <c r="M22" s="26">
        <f t="shared" si="8"/>
        <v>0</v>
      </c>
      <c r="N22" s="26">
        <f t="shared" si="8"/>
        <v>0</v>
      </c>
      <c r="O22" s="26">
        <f t="shared" si="8"/>
        <v>0</v>
      </c>
      <c r="P22" s="26">
        <f t="shared" si="8"/>
        <v>0</v>
      </c>
      <c r="Q22" s="26">
        <f t="shared" si="8"/>
        <v>0</v>
      </c>
      <c r="R22" s="26">
        <f>SUM(R23:R28)</f>
        <v>0</v>
      </c>
      <c r="S22" s="26">
        <f>SUM(S23:S28)</f>
        <v>0</v>
      </c>
      <c r="T22" s="26"/>
      <c r="U22" s="26">
        <f>SUM(U23:U28)</f>
        <v>81250</v>
      </c>
      <c r="V22" s="26">
        <f t="shared" si="1"/>
        <v>980260</v>
      </c>
    </row>
    <row r="23" spans="1:22" ht="15">
      <c r="A23" s="27">
        <v>2</v>
      </c>
      <c r="B23" s="1">
        <v>1</v>
      </c>
      <c r="C23" s="1">
        <v>2</v>
      </c>
      <c r="D23" s="1">
        <v>2</v>
      </c>
      <c r="E23" s="54" t="s">
        <v>19</v>
      </c>
      <c r="F23" s="29" t="s">
        <v>38</v>
      </c>
      <c r="G23" s="30">
        <v>0</v>
      </c>
      <c r="H23" s="30">
        <v>0</v>
      </c>
      <c r="I23" s="30">
        <v>0</v>
      </c>
      <c r="J23" s="30">
        <v>0</v>
      </c>
      <c r="K23" s="25"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30">
        <f aca="true" t="shared" si="9" ref="U23:U29">+H23+I23+J23+K23+L23+M23+N23+O23+P23+Q23+R23+S23</f>
        <v>0</v>
      </c>
      <c r="V23" s="26">
        <f t="shared" si="1"/>
        <v>0</v>
      </c>
    </row>
    <row r="24" spans="1:22" ht="15">
      <c r="A24" s="27">
        <v>2</v>
      </c>
      <c r="B24" s="1">
        <v>1</v>
      </c>
      <c r="C24" s="1">
        <v>2</v>
      </c>
      <c r="D24" s="1">
        <v>2</v>
      </c>
      <c r="E24" s="54" t="s">
        <v>23</v>
      </c>
      <c r="F24" s="29" t="s">
        <v>39</v>
      </c>
      <c r="G24" s="30">
        <v>0</v>
      </c>
      <c r="H24" s="30"/>
      <c r="I24" s="30"/>
      <c r="J24" s="30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0">
        <f t="shared" si="9"/>
        <v>0</v>
      </c>
      <c r="V24" s="26">
        <f t="shared" si="1"/>
        <v>0</v>
      </c>
    </row>
    <row r="25" spans="1:22" ht="15">
      <c r="A25" s="27">
        <v>2</v>
      </c>
      <c r="B25" s="1">
        <v>1</v>
      </c>
      <c r="C25" s="1">
        <v>2</v>
      </c>
      <c r="D25" s="1">
        <v>2</v>
      </c>
      <c r="E25" s="54" t="s">
        <v>27</v>
      </c>
      <c r="F25" s="29" t="s">
        <v>40</v>
      </c>
      <c r="G25" s="30">
        <v>0</v>
      </c>
      <c r="H25" s="30">
        <v>0</v>
      </c>
      <c r="I25" s="30">
        <v>0</v>
      </c>
      <c r="J25" s="30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/>
      <c r="S25" s="25"/>
      <c r="T25" s="25"/>
      <c r="U25" s="30">
        <f t="shared" si="9"/>
        <v>0</v>
      </c>
      <c r="V25" s="26">
        <f t="shared" si="1"/>
        <v>0</v>
      </c>
    </row>
    <row r="26" spans="1:23" ht="15">
      <c r="A26" s="27">
        <v>2</v>
      </c>
      <c r="B26" s="1">
        <v>1</v>
      </c>
      <c r="C26" s="1">
        <v>2</v>
      </c>
      <c r="D26" s="1">
        <v>2</v>
      </c>
      <c r="E26" s="54" t="s">
        <v>29</v>
      </c>
      <c r="F26" s="29" t="s">
        <v>41</v>
      </c>
      <c r="G26" s="30">
        <v>200000</v>
      </c>
      <c r="H26" s="30">
        <v>16250</v>
      </c>
      <c r="I26" s="30">
        <v>16250</v>
      </c>
      <c r="J26" s="30">
        <v>16250</v>
      </c>
      <c r="K26" s="25">
        <v>16250</v>
      </c>
      <c r="L26" s="25">
        <v>16250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/>
      <c r="S26" s="25"/>
      <c r="T26" s="25"/>
      <c r="U26" s="30">
        <f t="shared" si="9"/>
        <v>81250</v>
      </c>
      <c r="V26" s="26">
        <f t="shared" si="1"/>
        <v>118750</v>
      </c>
      <c r="W26" s="98">
        <f>+U26/G26</f>
        <v>0.40625</v>
      </c>
    </row>
    <row r="27" spans="1:22" ht="15">
      <c r="A27" s="27">
        <v>2</v>
      </c>
      <c r="B27" s="1">
        <v>1</v>
      </c>
      <c r="C27" s="1">
        <v>2</v>
      </c>
      <c r="D27" s="1">
        <v>2</v>
      </c>
      <c r="E27" s="54" t="s">
        <v>42</v>
      </c>
      <c r="F27" s="29" t="s">
        <v>43</v>
      </c>
      <c r="G27" s="30">
        <v>0</v>
      </c>
      <c r="H27" s="30"/>
      <c r="I27" s="30"/>
      <c r="J27" s="30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30">
        <f t="shared" si="9"/>
        <v>0</v>
      </c>
      <c r="V27" s="26">
        <f t="shared" si="1"/>
        <v>0</v>
      </c>
    </row>
    <row r="28" spans="1:22" ht="15">
      <c r="A28" s="27">
        <v>2</v>
      </c>
      <c r="B28" s="1">
        <v>1</v>
      </c>
      <c r="C28" s="1">
        <v>2</v>
      </c>
      <c r="D28" s="1">
        <v>2</v>
      </c>
      <c r="E28" s="54" t="s">
        <v>44</v>
      </c>
      <c r="F28" s="29" t="s">
        <v>45</v>
      </c>
      <c r="G28" s="30">
        <v>861510</v>
      </c>
      <c r="H28" s="30"/>
      <c r="I28" s="30"/>
      <c r="J28" s="30"/>
      <c r="K28" s="25"/>
      <c r="L28" s="25"/>
      <c r="M28" s="25"/>
      <c r="N28" s="25"/>
      <c r="O28" s="25">
        <v>0</v>
      </c>
      <c r="P28" s="25"/>
      <c r="Q28" s="25"/>
      <c r="R28" s="25"/>
      <c r="S28" s="25">
        <v>0</v>
      </c>
      <c r="T28" s="25"/>
      <c r="U28" s="30">
        <f t="shared" si="9"/>
        <v>0</v>
      </c>
      <c r="V28" s="26">
        <f t="shared" si="1"/>
        <v>861510</v>
      </c>
    </row>
    <row r="29" spans="1:22" ht="15">
      <c r="A29" s="27"/>
      <c r="B29" s="1"/>
      <c r="C29" s="1"/>
      <c r="D29" s="1"/>
      <c r="E29" s="54"/>
      <c r="F29" s="29"/>
      <c r="G29" s="30" t="s">
        <v>34</v>
      </c>
      <c r="H29" s="30">
        <v>0</v>
      </c>
      <c r="I29" s="30">
        <v>0</v>
      </c>
      <c r="J29" s="30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/>
      <c r="S29" s="25">
        <v>0</v>
      </c>
      <c r="T29" s="25">
        <v>0</v>
      </c>
      <c r="U29" s="30">
        <f t="shared" si="9"/>
        <v>0</v>
      </c>
      <c r="V29" s="26">
        <v>0</v>
      </c>
    </row>
    <row r="30" spans="1:22" ht="22.5">
      <c r="A30" s="27">
        <v>2</v>
      </c>
      <c r="B30" s="1">
        <v>1</v>
      </c>
      <c r="C30" s="1">
        <v>3</v>
      </c>
      <c r="D30" s="29"/>
      <c r="E30" s="55"/>
      <c r="F30" s="1" t="s">
        <v>46</v>
      </c>
      <c r="G30" s="26">
        <f>G31+G34</f>
        <v>324001</v>
      </c>
      <c r="H30" s="26">
        <f aca="true" t="shared" si="10" ref="H30:U30">H31+H34</f>
        <v>0</v>
      </c>
      <c r="I30" s="26">
        <f t="shared" si="10"/>
        <v>22650</v>
      </c>
      <c r="J30" s="26">
        <f t="shared" si="10"/>
        <v>45300</v>
      </c>
      <c r="K30" s="26">
        <f t="shared" si="10"/>
        <v>0</v>
      </c>
      <c r="L30" s="26">
        <f t="shared" si="10"/>
        <v>45300</v>
      </c>
      <c r="M30" s="26">
        <f t="shared" si="10"/>
        <v>0</v>
      </c>
      <c r="N30" s="26">
        <f t="shared" si="10"/>
        <v>0</v>
      </c>
      <c r="O30" s="26">
        <f t="shared" si="10"/>
        <v>0</v>
      </c>
      <c r="P30" s="26">
        <f t="shared" si="10"/>
        <v>0</v>
      </c>
      <c r="Q30" s="26">
        <f t="shared" si="10"/>
        <v>0</v>
      </c>
      <c r="R30" s="26"/>
      <c r="S30" s="26"/>
      <c r="T30" s="26"/>
      <c r="U30" s="26">
        <f t="shared" si="10"/>
        <v>113250</v>
      </c>
      <c r="V30" s="26">
        <f aca="true" t="shared" si="11" ref="V30:V61">G30-U30</f>
        <v>210751</v>
      </c>
    </row>
    <row r="31" spans="1:22" ht="15">
      <c r="A31" s="27">
        <v>2</v>
      </c>
      <c r="B31" s="1">
        <v>1</v>
      </c>
      <c r="C31" s="1">
        <v>3</v>
      </c>
      <c r="D31" s="1">
        <v>1</v>
      </c>
      <c r="E31" s="53"/>
      <c r="F31" s="1" t="s">
        <v>47</v>
      </c>
      <c r="G31" s="26">
        <f>G32+G33</f>
        <v>0</v>
      </c>
      <c r="H31" s="26">
        <f aca="true" t="shared" si="12" ref="H31:U31">H32+H33</f>
        <v>0</v>
      </c>
      <c r="I31" s="26">
        <f t="shared" si="12"/>
        <v>0</v>
      </c>
      <c r="J31" s="26">
        <f t="shared" si="12"/>
        <v>0</v>
      </c>
      <c r="K31" s="26">
        <f t="shared" si="12"/>
        <v>0</v>
      </c>
      <c r="L31" s="26">
        <f t="shared" si="12"/>
        <v>0</v>
      </c>
      <c r="M31" s="26">
        <f t="shared" si="12"/>
        <v>0</v>
      </c>
      <c r="N31" s="26">
        <f t="shared" si="12"/>
        <v>0</v>
      </c>
      <c r="O31" s="26">
        <f t="shared" si="12"/>
        <v>0</v>
      </c>
      <c r="P31" s="26">
        <f t="shared" si="12"/>
        <v>0</v>
      </c>
      <c r="Q31" s="26">
        <f t="shared" si="12"/>
        <v>0</v>
      </c>
      <c r="R31" s="26"/>
      <c r="S31" s="26"/>
      <c r="T31" s="26"/>
      <c r="U31" s="26">
        <f t="shared" si="12"/>
        <v>0</v>
      </c>
      <c r="V31" s="26">
        <f t="shared" si="11"/>
        <v>0</v>
      </c>
    </row>
    <row r="32" spans="1:22" ht="15">
      <c r="A32" s="27">
        <v>2</v>
      </c>
      <c r="B32" s="1">
        <v>1</v>
      </c>
      <c r="C32" s="1">
        <v>3</v>
      </c>
      <c r="D32" s="1">
        <v>1</v>
      </c>
      <c r="E32" s="54" t="s">
        <v>19</v>
      </c>
      <c r="F32" s="29" t="s">
        <v>48</v>
      </c>
      <c r="G32" s="30">
        <v>0</v>
      </c>
      <c r="H32" s="30"/>
      <c r="I32" s="30"/>
      <c r="J32" s="3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>
        <f>+H32+I32+J32+K32+L32+M32+N32+O32+P32+Q32+R32+S32</f>
        <v>0</v>
      </c>
      <c r="V32" s="26">
        <f t="shared" si="11"/>
        <v>0</v>
      </c>
    </row>
    <row r="33" spans="1:22" ht="15">
      <c r="A33" s="27">
        <v>2</v>
      </c>
      <c r="B33" s="1">
        <v>1</v>
      </c>
      <c r="C33" s="1">
        <v>3</v>
      </c>
      <c r="D33" s="1">
        <v>1</v>
      </c>
      <c r="E33" s="54" t="s">
        <v>23</v>
      </c>
      <c r="F33" s="29" t="s">
        <v>49</v>
      </c>
      <c r="G33" s="30">
        <v>0</v>
      </c>
      <c r="H33" s="30"/>
      <c r="I33" s="30"/>
      <c r="J33" s="30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>
        <f>+H33+I33+J33+K33+L33+M33+N33+O33+P33+Q33+R33+S33</f>
        <v>0</v>
      </c>
      <c r="V33" s="26">
        <f t="shared" si="11"/>
        <v>0</v>
      </c>
    </row>
    <row r="34" spans="1:23" ht="15">
      <c r="A34" s="27">
        <v>2</v>
      </c>
      <c r="B34" s="1">
        <v>1</v>
      </c>
      <c r="C34" s="1">
        <v>3</v>
      </c>
      <c r="D34" s="1">
        <v>2</v>
      </c>
      <c r="E34" s="56"/>
      <c r="F34" s="1" t="s">
        <v>50</v>
      </c>
      <c r="G34" s="26">
        <f aca="true" t="shared" si="13" ref="G34:Q34">G35</f>
        <v>324001</v>
      </c>
      <c r="H34" s="26">
        <f t="shared" si="13"/>
        <v>0</v>
      </c>
      <c r="I34" s="26">
        <f t="shared" si="13"/>
        <v>22650</v>
      </c>
      <c r="J34" s="26">
        <f t="shared" si="13"/>
        <v>45300</v>
      </c>
      <c r="K34" s="26">
        <f t="shared" si="13"/>
        <v>0</v>
      </c>
      <c r="L34" s="26">
        <f t="shared" si="13"/>
        <v>45300</v>
      </c>
      <c r="M34" s="26">
        <f t="shared" si="13"/>
        <v>0</v>
      </c>
      <c r="N34" s="26">
        <f t="shared" si="13"/>
        <v>0</v>
      </c>
      <c r="O34" s="26">
        <f t="shared" si="13"/>
        <v>0</v>
      </c>
      <c r="P34" s="26">
        <f t="shared" si="13"/>
        <v>0</v>
      </c>
      <c r="Q34" s="26">
        <f t="shared" si="13"/>
        <v>0</v>
      </c>
      <c r="R34" s="26"/>
      <c r="S34" s="26"/>
      <c r="T34" s="26"/>
      <c r="U34" s="26">
        <f>U35</f>
        <v>113250</v>
      </c>
      <c r="V34" s="26">
        <f t="shared" si="11"/>
        <v>210751</v>
      </c>
      <c r="W34" s="98">
        <f>+U34/G34</f>
        <v>0.3495359582223512</v>
      </c>
    </row>
    <row r="35" spans="1:22" ht="15">
      <c r="A35" s="28">
        <v>2</v>
      </c>
      <c r="B35" s="29">
        <v>1</v>
      </c>
      <c r="C35" s="29">
        <v>3</v>
      </c>
      <c r="D35" s="29">
        <v>2.01</v>
      </c>
      <c r="E35" s="54" t="s">
        <v>19</v>
      </c>
      <c r="F35" s="29" t="s">
        <v>51</v>
      </c>
      <c r="G35" s="30">
        <v>324001</v>
      </c>
      <c r="H35" s="30">
        <v>0</v>
      </c>
      <c r="I35" s="30">
        <f>22650</f>
        <v>22650</v>
      </c>
      <c r="J35" s="30">
        <f>22650+22650</f>
        <v>45300</v>
      </c>
      <c r="K35" s="25">
        <v>0</v>
      </c>
      <c r="L35" s="25">
        <f>22650+22650</f>
        <v>45300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/>
      <c r="S35" s="25"/>
      <c r="T35" s="25"/>
      <c r="U35" s="30">
        <f>+H35+I35+J35+K35+L35+M35+N35+O35+P35+Q35+R35+S35</f>
        <v>113250</v>
      </c>
      <c r="V35" s="26">
        <f t="shared" si="11"/>
        <v>210751</v>
      </c>
    </row>
    <row r="36" spans="1:22" ht="15">
      <c r="A36" s="28"/>
      <c r="B36" s="29"/>
      <c r="C36" s="29"/>
      <c r="D36" s="29"/>
      <c r="E36" s="54"/>
      <c r="F36" s="29"/>
      <c r="G36" s="30"/>
      <c r="H36" s="30"/>
      <c r="I36" s="30"/>
      <c r="J36" s="3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26">
        <f t="shared" si="11"/>
        <v>0</v>
      </c>
    </row>
    <row r="37" spans="1:22" ht="22.5">
      <c r="A37" s="27">
        <v>2</v>
      </c>
      <c r="B37" s="1">
        <v>1</v>
      </c>
      <c r="C37" s="1">
        <v>4</v>
      </c>
      <c r="D37" s="1"/>
      <c r="E37" s="56"/>
      <c r="F37" s="1" t="s">
        <v>52</v>
      </c>
      <c r="G37" s="26">
        <f>G38+G39</f>
        <v>0</v>
      </c>
      <c r="H37" s="26">
        <f aca="true" t="shared" si="14" ref="H37:U37">H38+H39</f>
        <v>0</v>
      </c>
      <c r="I37" s="26">
        <f t="shared" si="14"/>
        <v>0</v>
      </c>
      <c r="J37" s="26">
        <f t="shared" si="14"/>
        <v>0</v>
      </c>
      <c r="K37" s="26">
        <f t="shared" si="14"/>
        <v>0</v>
      </c>
      <c r="L37" s="26">
        <f t="shared" si="14"/>
        <v>0</v>
      </c>
      <c r="M37" s="26">
        <f t="shared" si="14"/>
        <v>0</v>
      </c>
      <c r="N37" s="26">
        <f t="shared" si="14"/>
        <v>0</v>
      </c>
      <c r="O37" s="26">
        <f t="shared" si="14"/>
        <v>0</v>
      </c>
      <c r="P37" s="26">
        <f t="shared" si="14"/>
        <v>0</v>
      </c>
      <c r="Q37" s="26">
        <f t="shared" si="14"/>
        <v>0</v>
      </c>
      <c r="R37" s="26"/>
      <c r="S37" s="26"/>
      <c r="T37" s="26"/>
      <c r="U37" s="26">
        <f t="shared" si="14"/>
        <v>0</v>
      </c>
      <c r="V37" s="26">
        <f t="shared" si="11"/>
        <v>0</v>
      </c>
    </row>
    <row r="38" spans="1:22" ht="15">
      <c r="A38" s="27">
        <v>2</v>
      </c>
      <c r="B38" s="1">
        <v>1</v>
      </c>
      <c r="C38" s="1">
        <v>4</v>
      </c>
      <c r="D38" s="1">
        <v>1</v>
      </c>
      <c r="E38" s="56"/>
      <c r="F38" s="1" t="s">
        <v>53</v>
      </c>
      <c r="G38" s="30"/>
      <c r="H38" s="30"/>
      <c r="I38" s="30"/>
      <c r="J38" s="3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6">
        <f>H38+I38+J38+K38+L38+M38+N38+O38+P38+Q38+R38+S38</f>
        <v>0</v>
      </c>
      <c r="V38" s="26">
        <f t="shared" si="11"/>
        <v>0</v>
      </c>
    </row>
    <row r="39" spans="1:22" ht="15">
      <c r="A39" s="27">
        <v>2</v>
      </c>
      <c r="B39" s="1">
        <v>1</v>
      </c>
      <c r="C39" s="1">
        <v>4</v>
      </c>
      <c r="D39" s="1">
        <v>2</v>
      </c>
      <c r="E39" s="56"/>
      <c r="F39" s="1" t="s">
        <v>54</v>
      </c>
      <c r="G39" s="26">
        <f>+G40</f>
        <v>0</v>
      </c>
      <c r="H39" s="26">
        <f aca="true" t="shared" si="15" ref="H39:U39">+H40</f>
        <v>0</v>
      </c>
      <c r="I39" s="26">
        <f t="shared" si="15"/>
        <v>0</v>
      </c>
      <c r="J39" s="26">
        <f t="shared" si="15"/>
        <v>0</v>
      </c>
      <c r="K39" s="26">
        <f t="shared" si="15"/>
        <v>0</v>
      </c>
      <c r="L39" s="26">
        <f t="shared" si="15"/>
        <v>0</v>
      </c>
      <c r="M39" s="26">
        <f t="shared" si="15"/>
        <v>0</v>
      </c>
      <c r="N39" s="26">
        <f t="shared" si="15"/>
        <v>0</v>
      </c>
      <c r="O39" s="26">
        <f t="shared" si="15"/>
        <v>0</v>
      </c>
      <c r="P39" s="26">
        <f t="shared" si="15"/>
        <v>0</v>
      </c>
      <c r="Q39" s="26">
        <f t="shared" si="15"/>
        <v>0</v>
      </c>
      <c r="R39" s="26"/>
      <c r="S39" s="26"/>
      <c r="T39" s="26"/>
      <c r="U39" s="26">
        <f t="shared" si="15"/>
        <v>0</v>
      </c>
      <c r="V39" s="26">
        <f t="shared" si="11"/>
        <v>0</v>
      </c>
    </row>
    <row r="40" spans="1:22" ht="15">
      <c r="A40" s="28">
        <v>2</v>
      </c>
      <c r="B40" s="29">
        <v>1</v>
      </c>
      <c r="C40" s="29">
        <v>4</v>
      </c>
      <c r="D40" s="29">
        <v>2</v>
      </c>
      <c r="E40" s="54" t="s">
        <v>19</v>
      </c>
      <c r="F40" s="29" t="s">
        <v>55</v>
      </c>
      <c r="G40" s="30">
        <v>0</v>
      </c>
      <c r="H40" s="30"/>
      <c r="I40" s="30"/>
      <c r="J40" s="30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6">
        <f>H40+I40+J40+K40+L40+M40+N40+O40+P40+Q40+R40+S40</f>
        <v>0</v>
      </c>
      <c r="V40" s="26">
        <f t="shared" si="11"/>
        <v>0</v>
      </c>
    </row>
    <row r="41" spans="1:23" ht="22.5">
      <c r="A41" s="27">
        <v>2</v>
      </c>
      <c r="B41" s="1">
        <v>1</v>
      </c>
      <c r="C41" s="1">
        <v>5</v>
      </c>
      <c r="D41" s="29"/>
      <c r="E41" s="55"/>
      <c r="F41" s="1" t="s">
        <v>56</v>
      </c>
      <c r="G41" s="26">
        <f>G42+G43+G44</f>
        <v>3960000</v>
      </c>
      <c r="H41" s="26">
        <f>H42+H43+H44</f>
        <v>322191.49</v>
      </c>
      <c r="I41" s="26">
        <f>I42+I43+I44</f>
        <v>4617</v>
      </c>
      <c r="J41" s="26">
        <f aca="true" t="shared" si="16" ref="J41:U41">J42+J43+J44</f>
        <v>664469.9299999999</v>
      </c>
      <c r="K41" s="26">
        <f t="shared" si="16"/>
        <v>376738.32999999996</v>
      </c>
      <c r="L41" s="26">
        <f t="shared" si="16"/>
        <v>340373.76999999996</v>
      </c>
      <c r="M41" s="26">
        <f t="shared" si="16"/>
        <v>0</v>
      </c>
      <c r="N41" s="26">
        <f t="shared" si="16"/>
        <v>0</v>
      </c>
      <c r="O41" s="26">
        <f>O42+O43+O44</f>
        <v>0</v>
      </c>
      <c r="P41" s="26">
        <f t="shared" si="16"/>
        <v>0</v>
      </c>
      <c r="Q41" s="26">
        <f t="shared" si="16"/>
        <v>0</v>
      </c>
      <c r="R41" s="26"/>
      <c r="S41" s="26"/>
      <c r="T41" s="26"/>
      <c r="U41" s="26">
        <f t="shared" si="16"/>
        <v>1708390.52</v>
      </c>
      <c r="V41" s="26">
        <f t="shared" si="11"/>
        <v>2251609.48</v>
      </c>
      <c r="W41" s="98">
        <f>+U41/G41</f>
        <v>0.4314117474747475</v>
      </c>
    </row>
    <row r="42" spans="1:22" ht="15">
      <c r="A42" s="27">
        <v>2</v>
      </c>
      <c r="B42" s="1">
        <v>1</v>
      </c>
      <c r="C42" s="1">
        <v>5</v>
      </c>
      <c r="D42" s="1">
        <v>1</v>
      </c>
      <c r="E42" s="53">
        <v>1</v>
      </c>
      <c r="F42" s="1" t="s">
        <v>57</v>
      </c>
      <c r="G42" s="30">
        <v>1800000</v>
      </c>
      <c r="H42" s="30">
        <f>10511.63+138547.34</f>
        <v>149058.97</v>
      </c>
      <c r="I42" s="30">
        <f>2127</f>
        <v>2127</v>
      </c>
      <c r="J42" s="30">
        <f>146931.97+2127+146931.97+11686.43</f>
        <v>307677.37</v>
      </c>
      <c r="K42" s="25">
        <f>157443.6+8384.63+8384.63</f>
        <v>174212.86000000002</v>
      </c>
      <c r="L42" s="25">
        <v>157443.6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/>
      <c r="S42" s="25"/>
      <c r="T42" s="25"/>
      <c r="U42" s="30">
        <f>+H42+I42+J42+K42+L42+M42+N42+O42+P42+Q42+R42+S42</f>
        <v>790519.7999999999</v>
      </c>
      <c r="V42" s="26">
        <f t="shared" si="11"/>
        <v>1009480.2000000001</v>
      </c>
    </row>
    <row r="43" spans="1:22" ht="15">
      <c r="A43" s="27">
        <v>2</v>
      </c>
      <c r="B43" s="1">
        <v>1</v>
      </c>
      <c r="C43" s="1">
        <v>5</v>
      </c>
      <c r="D43" s="1">
        <v>2</v>
      </c>
      <c r="E43" s="53"/>
      <c r="F43" s="1" t="s">
        <v>58</v>
      </c>
      <c r="G43" s="30">
        <v>1920000</v>
      </c>
      <c r="H43" s="30">
        <f>11498.53+148295.47</f>
        <v>159794</v>
      </c>
      <c r="I43" s="30">
        <f>2130</f>
        <v>2130</v>
      </c>
      <c r="J43" s="30">
        <f>2130+157664+157664+11955.37</f>
        <v>329413.37</v>
      </c>
      <c r="K43" s="25">
        <f>169024+9230+9230</f>
        <v>187484</v>
      </c>
      <c r="L43" s="25">
        <v>169024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/>
      <c r="S43" s="25"/>
      <c r="T43" s="25"/>
      <c r="U43" s="30">
        <f>+H43+I43+J43+K43+L43+M43+N43+O43+P43+Q43+R43+S43</f>
        <v>847845.37</v>
      </c>
      <c r="V43" s="26">
        <f t="shared" si="11"/>
        <v>1072154.63</v>
      </c>
    </row>
    <row r="44" spans="1:22" ht="15">
      <c r="A44" s="27">
        <v>2</v>
      </c>
      <c r="B44" s="1">
        <v>1</v>
      </c>
      <c r="C44" s="1">
        <v>5</v>
      </c>
      <c r="D44" s="1">
        <v>3</v>
      </c>
      <c r="E44" s="53"/>
      <c r="F44" s="1" t="s">
        <v>59</v>
      </c>
      <c r="G44" s="30">
        <v>240000</v>
      </c>
      <c r="H44" s="30">
        <f>927.65+12410.87</f>
        <v>13338.52</v>
      </c>
      <c r="I44" s="30">
        <f>360</f>
        <v>360</v>
      </c>
      <c r="J44" s="30">
        <f>360+12978.52+12978.52+702.15+360</f>
        <v>27379.190000000002</v>
      </c>
      <c r="K44" s="25">
        <f>13906.17+567.65+567.65</f>
        <v>15041.47</v>
      </c>
      <c r="L44" s="25">
        <v>13906.17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/>
      <c r="S44" s="25"/>
      <c r="T44" s="25"/>
      <c r="U44" s="30">
        <f>+H44+I44+J44+K44+L44+M44+N44+O44+P44+Q44+R44+S44</f>
        <v>70025.35</v>
      </c>
      <c r="V44" s="26">
        <f t="shared" si="11"/>
        <v>169974.65</v>
      </c>
    </row>
    <row r="45" spans="1:22" ht="15.75" thickBot="1">
      <c r="A45" s="32"/>
      <c r="B45" s="33"/>
      <c r="C45" s="33"/>
      <c r="D45" s="33"/>
      <c r="E45" s="57"/>
      <c r="F45" s="1"/>
      <c r="G45" s="26"/>
      <c r="H45" s="30"/>
      <c r="I45" s="30"/>
      <c r="J45" s="26"/>
      <c r="K45" s="25">
        <v>0</v>
      </c>
      <c r="L45" s="25"/>
      <c r="M45" s="25"/>
      <c r="N45" s="25"/>
      <c r="O45" s="25"/>
      <c r="P45" s="25"/>
      <c r="Q45" s="25"/>
      <c r="R45" s="25"/>
      <c r="S45" s="25"/>
      <c r="T45" s="25"/>
      <c r="U45" s="30"/>
      <c r="V45" s="26">
        <f t="shared" si="11"/>
        <v>0</v>
      </c>
    </row>
    <row r="46" spans="1:22" ht="15.75" thickBot="1">
      <c r="A46" s="21">
        <v>2</v>
      </c>
      <c r="B46" s="22">
        <v>2</v>
      </c>
      <c r="C46" s="22"/>
      <c r="D46" s="22"/>
      <c r="E46" s="51"/>
      <c r="F46" s="1" t="s">
        <v>60</v>
      </c>
      <c r="G46" s="26">
        <f>G48+G58+G62+G66+G70+G75+G81+G91</f>
        <v>15010785.219999999</v>
      </c>
      <c r="H46" s="26">
        <f aca="true" t="shared" si="17" ref="H46:U46">H48+H58+H62+H66+H70+H75+H81+H91</f>
        <v>0</v>
      </c>
      <c r="I46" s="26">
        <f t="shared" si="17"/>
        <v>1135989.91</v>
      </c>
      <c r="J46" s="26">
        <f t="shared" si="17"/>
        <v>1061993.54</v>
      </c>
      <c r="K46" s="26">
        <f t="shared" si="17"/>
        <v>1360905.57</v>
      </c>
      <c r="L46" s="26">
        <f t="shared" si="17"/>
        <v>649073.8200000002</v>
      </c>
      <c r="M46" s="26">
        <f t="shared" si="17"/>
        <v>0</v>
      </c>
      <c r="N46" s="26">
        <f t="shared" si="17"/>
        <v>0</v>
      </c>
      <c r="O46" s="26">
        <f t="shared" si="17"/>
        <v>0</v>
      </c>
      <c r="P46" s="26">
        <f t="shared" si="17"/>
        <v>0</v>
      </c>
      <c r="Q46" s="26">
        <f t="shared" si="17"/>
        <v>0</v>
      </c>
      <c r="R46" s="26"/>
      <c r="S46" s="26"/>
      <c r="T46" s="26"/>
      <c r="U46" s="26">
        <f t="shared" si="17"/>
        <v>4207962.84</v>
      </c>
      <c r="V46" s="26">
        <f t="shared" si="11"/>
        <v>10802822.379999999</v>
      </c>
    </row>
    <row r="47" spans="1:22" ht="15">
      <c r="A47" s="23"/>
      <c r="B47" s="24"/>
      <c r="C47" s="34"/>
      <c r="D47" s="34"/>
      <c r="E47" s="58"/>
      <c r="F47" s="1"/>
      <c r="G47" s="26"/>
      <c r="H47" s="30"/>
      <c r="I47" s="30"/>
      <c r="J47" s="30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6">
        <f>+H47+I47+J47+K47+L47+M47+N47+O47+P47+Q47+R47+S47</f>
        <v>0</v>
      </c>
      <c r="V47" s="26">
        <f t="shared" si="11"/>
        <v>0</v>
      </c>
    </row>
    <row r="48" spans="1:23" ht="15">
      <c r="A48" s="27">
        <v>2</v>
      </c>
      <c r="B48" s="1">
        <v>2</v>
      </c>
      <c r="C48" s="1">
        <v>1</v>
      </c>
      <c r="D48" s="29"/>
      <c r="E48" s="55"/>
      <c r="F48" s="1" t="s">
        <v>61</v>
      </c>
      <c r="G48" s="26">
        <f>+G49+G50+G51+G52+G53+G55+G56</f>
        <v>1724001</v>
      </c>
      <c r="H48" s="26">
        <f>+H49+H50+H51+H52+H53+H55+H56</f>
        <v>0</v>
      </c>
      <c r="I48" s="26">
        <f aca="true" t="shared" si="18" ref="I48:U48">+I49+I50+I51+I52+I53+I55+I56</f>
        <v>269934.98</v>
      </c>
      <c r="J48" s="26">
        <f t="shared" si="18"/>
        <v>156308.14</v>
      </c>
      <c r="K48" s="26">
        <f t="shared" si="18"/>
        <v>139011.66999999998</v>
      </c>
      <c r="L48" s="26">
        <f t="shared" si="18"/>
        <v>135218.71000000002</v>
      </c>
      <c r="M48" s="26">
        <f t="shared" si="18"/>
        <v>0</v>
      </c>
      <c r="N48" s="26">
        <f t="shared" si="18"/>
        <v>0</v>
      </c>
      <c r="O48" s="26">
        <f t="shared" si="18"/>
        <v>0</v>
      </c>
      <c r="P48" s="26">
        <f t="shared" si="18"/>
        <v>0</v>
      </c>
      <c r="Q48" s="26">
        <f t="shared" si="18"/>
        <v>0</v>
      </c>
      <c r="R48" s="26"/>
      <c r="S48" s="26"/>
      <c r="T48" s="26"/>
      <c r="U48" s="26">
        <f t="shared" si="18"/>
        <v>700473.5</v>
      </c>
      <c r="V48" s="26">
        <f t="shared" si="11"/>
        <v>1023527.5</v>
      </c>
      <c r="W48" s="98">
        <f>+U48/G48</f>
        <v>0.40630689889391014</v>
      </c>
    </row>
    <row r="49" spans="1:22" ht="15">
      <c r="A49" s="27">
        <v>2</v>
      </c>
      <c r="B49" s="1">
        <v>2</v>
      </c>
      <c r="C49" s="1">
        <v>1</v>
      </c>
      <c r="D49" s="1">
        <v>2</v>
      </c>
      <c r="E49" s="53"/>
      <c r="F49" s="1" t="s">
        <v>62</v>
      </c>
      <c r="G49" s="30">
        <v>15000</v>
      </c>
      <c r="H49" s="30">
        <v>0</v>
      </c>
      <c r="I49" s="30">
        <f>890.5+890.5</f>
        <v>1781</v>
      </c>
      <c r="J49" s="30">
        <v>890.5</v>
      </c>
      <c r="K49" s="25">
        <v>890.5</v>
      </c>
      <c r="L49" s="25">
        <v>890.5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/>
      <c r="S49" s="25"/>
      <c r="T49" s="25"/>
      <c r="U49" s="30">
        <f>+H49+I49+J49+K49+L49+M49+N49+O49+P49+Q49+R49+S49</f>
        <v>4452.5</v>
      </c>
      <c r="V49" s="26">
        <f t="shared" si="11"/>
        <v>10547.5</v>
      </c>
    </row>
    <row r="50" spans="1:22" ht="15">
      <c r="A50" s="27">
        <v>2</v>
      </c>
      <c r="B50" s="1">
        <v>2</v>
      </c>
      <c r="C50" s="1">
        <v>1</v>
      </c>
      <c r="D50" s="1">
        <v>3</v>
      </c>
      <c r="E50" s="53"/>
      <c r="F50" s="1" t="s">
        <v>63</v>
      </c>
      <c r="G50" s="30">
        <v>1080000</v>
      </c>
      <c r="H50" s="30">
        <v>0</v>
      </c>
      <c r="I50" s="30">
        <f>65146.9+33141.84+33200+67914.55</f>
        <v>199403.28999999998</v>
      </c>
      <c r="J50" s="30">
        <f>74321.89+33217.5</f>
        <v>107539.39</v>
      </c>
      <c r="K50" s="25">
        <f>30583.68+67137.97</f>
        <v>97721.65</v>
      </c>
      <c r="L50" s="25">
        <f>30475.7+60899.54</f>
        <v>91375.24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/>
      <c r="S50" s="25"/>
      <c r="T50" s="25"/>
      <c r="U50" s="30">
        <f>+H50+I50+J50+K50+L50+M50+N50+O50+P50+Q50+R50+S50</f>
        <v>496039.56999999995</v>
      </c>
      <c r="V50" s="26">
        <f t="shared" si="11"/>
        <v>583960.43</v>
      </c>
    </row>
    <row r="51" spans="1:22" ht="15">
      <c r="A51" s="27">
        <v>2</v>
      </c>
      <c r="B51" s="1">
        <v>2</v>
      </c>
      <c r="C51" s="1">
        <v>1</v>
      </c>
      <c r="D51" s="1">
        <v>4</v>
      </c>
      <c r="E51" s="53"/>
      <c r="F51" s="1" t="s">
        <v>64</v>
      </c>
      <c r="G51" s="30">
        <v>30001</v>
      </c>
      <c r="H51" s="30">
        <v>0</v>
      </c>
      <c r="I51" s="30">
        <f>2099.5+2099.5</f>
        <v>4199</v>
      </c>
      <c r="J51" s="30">
        <v>2099.5</v>
      </c>
      <c r="K51" s="25">
        <v>2099.5</v>
      </c>
      <c r="L51" s="25">
        <v>2099.5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/>
      <c r="S51" s="25"/>
      <c r="T51" s="25"/>
      <c r="U51" s="30">
        <f>+H51+I51+J51+K51+L51+M51+N51+O51+P51+Q51+R51+S51</f>
        <v>10497.5</v>
      </c>
      <c r="V51" s="26">
        <f t="shared" si="11"/>
        <v>19503.5</v>
      </c>
    </row>
    <row r="52" spans="1:22" ht="15">
      <c r="A52" s="27">
        <v>2</v>
      </c>
      <c r="B52" s="1">
        <v>2</v>
      </c>
      <c r="C52" s="1">
        <v>1</v>
      </c>
      <c r="D52" s="1">
        <v>5</v>
      </c>
      <c r="E52" s="53"/>
      <c r="F52" s="1" t="s">
        <v>65</v>
      </c>
      <c r="G52" s="30">
        <v>30000</v>
      </c>
      <c r="H52" s="30">
        <v>0</v>
      </c>
      <c r="I52" s="30">
        <f>2099.5+2099.5</f>
        <v>4199</v>
      </c>
      <c r="J52" s="30">
        <v>2099.5</v>
      </c>
      <c r="K52" s="25">
        <v>2099.5</v>
      </c>
      <c r="L52" s="25">
        <v>2099.5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/>
      <c r="S52" s="25"/>
      <c r="T52" s="25"/>
      <c r="U52" s="30">
        <f>+H52+I52+J52+K52+L52+M52+N52+O52+P52+Q52+R52+S52</f>
        <v>10497.5</v>
      </c>
      <c r="V52" s="26">
        <f t="shared" si="11"/>
        <v>19502.5</v>
      </c>
    </row>
    <row r="53" spans="1:22" ht="15">
      <c r="A53" s="27">
        <v>2</v>
      </c>
      <c r="B53" s="1">
        <v>2</v>
      </c>
      <c r="C53" s="1">
        <v>1</v>
      </c>
      <c r="D53" s="1">
        <v>6</v>
      </c>
      <c r="E53" s="53"/>
      <c r="F53" s="1" t="s">
        <v>66</v>
      </c>
      <c r="G53" s="26">
        <f>G54</f>
        <v>540000</v>
      </c>
      <c r="H53" s="26">
        <f>H54</f>
        <v>0</v>
      </c>
      <c r="I53" s="26">
        <f aca="true" t="shared" si="19" ref="I53:Q53">I54</f>
        <v>55915.69</v>
      </c>
      <c r="J53" s="26">
        <f t="shared" si="19"/>
        <v>41360.25</v>
      </c>
      <c r="K53" s="26">
        <f t="shared" si="19"/>
        <v>33890.52</v>
      </c>
      <c r="L53" s="26">
        <f t="shared" si="19"/>
        <v>36443.97</v>
      </c>
      <c r="M53" s="26">
        <f t="shared" si="19"/>
        <v>0</v>
      </c>
      <c r="N53" s="26">
        <f t="shared" si="19"/>
        <v>0</v>
      </c>
      <c r="O53" s="26">
        <f t="shared" si="19"/>
        <v>0</v>
      </c>
      <c r="P53" s="26">
        <f t="shared" si="19"/>
        <v>0</v>
      </c>
      <c r="Q53" s="26">
        <f t="shared" si="19"/>
        <v>0</v>
      </c>
      <c r="R53" s="26"/>
      <c r="S53" s="26"/>
      <c r="T53" s="26"/>
      <c r="U53" s="26">
        <f>U54</f>
        <v>167610.43</v>
      </c>
      <c r="V53" s="26">
        <f t="shared" si="11"/>
        <v>372389.57</v>
      </c>
    </row>
    <row r="54" spans="1:22" ht="15">
      <c r="A54" s="28">
        <v>2</v>
      </c>
      <c r="B54" s="29">
        <v>2</v>
      </c>
      <c r="C54" s="29">
        <v>1</v>
      </c>
      <c r="D54" s="29">
        <v>6</v>
      </c>
      <c r="E54" s="54" t="s">
        <v>19</v>
      </c>
      <c r="F54" s="29" t="s">
        <v>67</v>
      </c>
      <c r="G54" s="30">
        <v>540000</v>
      </c>
      <c r="H54" s="30">
        <v>0</v>
      </c>
      <c r="I54" s="30">
        <f>38455.13+17460.56</f>
        <v>55915.69</v>
      </c>
      <c r="J54" s="30">
        <v>41360.25</v>
      </c>
      <c r="K54" s="25">
        <v>33890.52</v>
      </c>
      <c r="L54" s="25">
        <v>36443.97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/>
      <c r="S54" s="25"/>
      <c r="T54" s="25"/>
      <c r="U54" s="30">
        <f>+H54+I54+J54+K54+L54+M54+N54+O54+P54+Q54+R54+S54</f>
        <v>167610.43</v>
      </c>
      <c r="V54" s="26">
        <f t="shared" si="11"/>
        <v>372389.57</v>
      </c>
    </row>
    <row r="55" spans="1:22" ht="15">
      <c r="A55" s="27">
        <v>2</v>
      </c>
      <c r="B55" s="1">
        <v>2</v>
      </c>
      <c r="C55" s="1">
        <v>1</v>
      </c>
      <c r="D55" s="1">
        <v>7</v>
      </c>
      <c r="E55" s="53"/>
      <c r="F55" s="1" t="s">
        <v>68</v>
      </c>
      <c r="G55" s="30">
        <v>7000</v>
      </c>
      <c r="H55" s="30">
        <v>0</v>
      </c>
      <c r="I55" s="30">
        <f>465+465</f>
        <v>930</v>
      </c>
      <c r="J55" s="30">
        <v>474</v>
      </c>
      <c r="K55" s="25">
        <v>465</v>
      </c>
      <c r="L55" s="25">
        <v>465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/>
      <c r="S55" s="25"/>
      <c r="T55" s="25"/>
      <c r="U55" s="30">
        <f>+H55+I55+J55+K55+L55+M55+N55+O55+P55+Q55+R55+S55</f>
        <v>2334</v>
      </c>
      <c r="V55" s="26">
        <f t="shared" si="11"/>
        <v>4666</v>
      </c>
    </row>
    <row r="56" spans="1:22" ht="15">
      <c r="A56" s="27">
        <v>2</v>
      </c>
      <c r="B56" s="1">
        <v>2</v>
      </c>
      <c r="C56" s="1">
        <v>1</v>
      </c>
      <c r="D56" s="1">
        <v>8</v>
      </c>
      <c r="E56" s="53"/>
      <c r="F56" s="1" t="s">
        <v>69</v>
      </c>
      <c r="G56" s="30">
        <v>22000</v>
      </c>
      <c r="H56" s="30">
        <v>0</v>
      </c>
      <c r="I56" s="30">
        <f>1656+1851</f>
        <v>3507</v>
      </c>
      <c r="J56" s="30">
        <v>1845</v>
      </c>
      <c r="K56" s="25">
        <v>1845</v>
      </c>
      <c r="L56" s="25">
        <v>1845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/>
      <c r="S56" s="25"/>
      <c r="T56" s="25"/>
      <c r="U56" s="30">
        <f>+H56+I56+J56+K56+L56+M56+N56+O56+P56+Q56+R56+S56</f>
        <v>9042</v>
      </c>
      <c r="V56" s="26">
        <f t="shared" si="11"/>
        <v>12958</v>
      </c>
    </row>
    <row r="57" spans="1:22" ht="15">
      <c r="A57" s="27"/>
      <c r="B57" s="1"/>
      <c r="C57" s="1"/>
      <c r="D57" s="1"/>
      <c r="E57" s="55"/>
      <c r="F57" s="1"/>
      <c r="G57" s="26"/>
      <c r="H57" s="30"/>
      <c r="I57" s="30"/>
      <c r="J57" s="30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6">
        <f>+H57+I57+J57+K57+L57+M57+N57+O57+P57+Q57</f>
        <v>0</v>
      </c>
      <c r="V57" s="26">
        <f t="shared" si="11"/>
        <v>0</v>
      </c>
    </row>
    <row r="58" spans="1:22" ht="22.5">
      <c r="A58" s="27">
        <v>2</v>
      </c>
      <c r="B58" s="1">
        <v>2</v>
      </c>
      <c r="C58" s="1">
        <v>2</v>
      </c>
      <c r="D58" s="29"/>
      <c r="E58" s="55"/>
      <c r="F58" s="83" t="s">
        <v>70</v>
      </c>
      <c r="G58" s="75">
        <f>+G59+G60</f>
        <v>650000</v>
      </c>
      <c r="H58" s="75">
        <f aca="true" t="shared" si="20" ref="H58:U58">+H59+H60</f>
        <v>0</v>
      </c>
      <c r="I58" s="75">
        <f t="shared" si="20"/>
        <v>0</v>
      </c>
      <c r="J58" s="75">
        <f t="shared" si="20"/>
        <v>0</v>
      </c>
      <c r="K58" s="75">
        <f t="shared" si="20"/>
        <v>0</v>
      </c>
      <c r="L58" s="75">
        <f t="shared" si="20"/>
        <v>23269.6</v>
      </c>
      <c r="M58" s="75">
        <f t="shared" si="20"/>
        <v>0</v>
      </c>
      <c r="N58" s="75">
        <f t="shared" si="20"/>
        <v>0</v>
      </c>
      <c r="O58" s="75">
        <f t="shared" si="20"/>
        <v>0</v>
      </c>
      <c r="P58" s="75">
        <f t="shared" si="20"/>
        <v>0</v>
      </c>
      <c r="Q58" s="75">
        <f t="shared" si="20"/>
        <v>0</v>
      </c>
      <c r="R58" s="75"/>
      <c r="S58" s="75"/>
      <c r="T58" s="75"/>
      <c r="U58" s="75">
        <f t="shared" si="20"/>
        <v>23269.6</v>
      </c>
      <c r="V58" s="26">
        <f t="shared" si="11"/>
        <v>626730.4</v>
      </c>
    </row>
    <row r="59" spans="1:22" ht="21">
      <c r="A59" s="27">
        <v>2</v>
      </c>
      <c r="B59" s="1">
        <v>2</v>
      </c>
      <c r="C59" s="1">
        <v>2</v>
      </c>
      <c r="D59" s="1">
        <v>1</v>
      </c>
      <c r="E59" s="53" t="s">
        <v>71</v>
      </c>
      <c r="F59" s="83" t="s">
        <v>72</v>
      </c>
      <c r="G59" s="30">
        <v>50000</v>
      </c>
      <c r="H59" s="26"/>
      <c r="I59" s="26"/>
      <c r="J59" s="26"/>
      <c r="K59" s="25"/>
      <c r="L59" s="25"/>
      <c r="M59" s="25">
        <v>0</v>
      </c>
      <c r="N59" s="25"/>
      <c r="O59" s="25"/>
      <c r="P59" s="25"/>
      <c r="Q59" s="25"/>
      <c r="R59" s="25"/>
      <c r="S59" s="25"/>
      <c r="T59" s="25"/>
      <c r="U59" s="26">
        <f>+H59+I59+J59+K59+L59+M59+N59+O59+P59+Q59+R59+S59</f>
        <v>0</v>
      </c>
      <c r="V59" s="26">
        <f t="shared" si="11"/>
        <v>50000</v>
      </c>
    </row>
    <row r="60" spans="1:22" ht="21.75" thickBot="1">
      <c r="A60" s="35">
        <v>2</v>
      </c>
      <c r="B60" s="36">
        <v>2</v>
      </c>
      <c r="C60" s="36">
        <v>2</v>
      </c>
      <c r="D60" s="36">
        <v>2</v>
      </c>
      <c r="E60" s="59" t="s">
        <v>71</v>
      </c>
      <c r="F60" s="83" t="s">
        <v>73</v>
      </c>
      <c r="G60" s="30">
        <v>600000</v>
      </c>
      <c r="H60" s="26"/>
      <c r="I60" s="26">
        <v>0</v>
      </c>
      <c r="J60" s="30">
        <v>0</v>
      </c>
      <c r="K60" s="25"/>
      <c r="L60" s="25">
        <v>23269.6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/>
      <c r="S60" s="25"/>
      <c r="T60" s="25"/>
      <c r="U60" s="30">
        <f>+H60+I60+K60+L60+M60+N60+O60+P60+Q60+J60+R60+S60</f>
        <v>23269.6</v>
      </c>
      <c r="V60" s="26">
        <f t="shared" si="11"/>
        <v>576730.4</v>
      </c>
    </row>
    <row r="61" spans="1:22" ht="15">
      <c r="A61" s="23"/>
      <c r="B61" s="24"/>
      <c r="C61" s="24"/>
      <c r="D61" s="24"/>
      <c r="E61" s="58"/>
      <c r="F61" s="83"/>
      <c r="G61" s="26"/>
      <c r="H61" s="30"/>
      <c r="I61" s="30"/>
      <c r="J61" s="30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30">
        <f>+H61+I61+J61+K61+L61+M61+N61+O61+P61+Q61</f>
        <v>0</v>
      </c>
      <c r="V61" s="26">
        <f t="shared" si="11"/>
        <v>0</v>
      </c>
    </row>
    <row r="62" spans="1:23" ht="15">
      <c r="A62" s="27">
        <v>2</v>
      </c>
      <c r="B62" s="1">
        <v>2</v>
      </c>
      <c r="C62" s="1">
        <v>3</v>
      </c>
      <c r="D62" s="29"/>
      <c r="E62" s="55"/>
      <c r="F62" s="83" t="s">
        <v>74</v>
      </c>
      <c r="G62" s="26">
        <f>+G63+G64</f>
        <v>3095000</v>
      </c>
      <c r="H62" s="26">
        <f aca="true" t="shared" si="21" ref="H62:U62">+H63+H64</f>
        <v>0</v>
      </c>
      <c r="I62" s="26">
        <f t="shared" si="21"/>
        <v>268250</v>
      </c>
      <c r="J62" s="26">
        <f t="shared" si="21"/>
        <v>226850</v>
      </c>
      <c r="K62" s="26">
        <f t="shared" si="21"/>
        <v>86400</v>
      </c>
      <c r="L62" s="26">
        <f t="shared" si="21"/>
        <v>168400</v>
      </c>
      <c r="M62" s="26">
        <f t="shared" si="21"/>
        <v>0</v>
      </c>
      <c r="N62" s="26">
        <f t="shared" si="21"/>
        <v>0</v>
      </c>
      <c r="O62" s="26">
        <f t="shared" si="21"/>
        <v>0</v>
      </c>
      <c r="P62" s="26">
        <f t="shared" si="21"/>
        <v>0</v>
      </c>
      <c r="Q62" s="26">
        <f t="shared" si="21"/>
        <v>0</v>
      </c>
      <c r="R62" s="26">
        <f t="shared" si="21"/>
        <v>0</v>
      </c>
      <c r="S62" s="26">
        <f t="shared" si="21"/>
        <v>0</v>
      </c>
      <c r="T62" s="26"/>
      <c r="U62" s="26">
        <f t="shared" si="21"/>
        <v>749900</v>
      </c>
      <c r="V62" s="26">
        <f aca="true" t="shared" si="22" ref="V62:V93">G62-U62</f>
        <v>2345100</v>
      </c>
      <c r="W62" s="98">
        <f>+U62/G62</f>
        <v>0.2422940226171244</v>
      </c>
    </row>
    <row r="63" spans="1:23" ht="15">
      <c r="A63" s="27">
        <v>2</v>
      </c>
      <c r="B63" s="1">
        <v>2</v>
      </c>
      <c r="C63" s="1">
        <v>3</v>
      </c>
      <c r="D63" s="1">
        <v>1</v>
      </c>
      <c r="E63" s="53"/>
      <c r="F63" s="83" t="s">
        <v>75</v>
      </c>
      <c r="G63" s="30">
        <v>3020000</v>
      </c>
      <c r="H63" s="30">
        <v>0</v>
      </c>
      <c r="I63" s="30">
        <f>160250+108000</f>
        <v>268250</v>
      </c>
      <c r="J63" s="30">
        <f>206750+20100</f>
        <v>226850</v>
      </c>
      <c r="K63" s="25">
        <v>86400</v>
      </c>
      <c r="L63" s="25">
        <f>51000+80800+36600</f>
        <v>168400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/>
      <c r="S63" s="25">
        <v>0</v>
      </c>
      <c r="T63" s="25"/>
      <c r="U63" s="30">
        <f>+H63+I63+J63+K63+L63+M63+N63+O63+P63+Q63+R63+S63</f>
        <v>749900</v>
      </c>
      <c r="V63" s="26">
        <f t="shared" si="22"/>
        <v>2270100</v>
      </c>
      <c r="W63" s="98">
        <f>+U63/G63</f>
        <v>0.2483112582781457</v>
      </c>
    </row>
    <row r="64" spans="1:22" ht="15">
      <c r="A64" s="27">
        <v>2</v>
      </c>
      <c r="B64" s="1">
        <v>2</v>
      </c>
      <c r="C64" s="1">
        <v>3</v>
      </c>
      <c r="D64" s="1">
        <v>2</v>
      </c>
      <c r="E64" s="53"/>
      <c r="F64" s="83" t="s">
        <v>76</v>
      </c>
      <c r="G64" s="30">
        <v>75000</v>
      </c>
      <c r="H64" s="30"/>
      <c r="I64" s="26"/>
      <c r="J64" s="26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30">
        <f>+H64+I64+J64+K64+L64+M64+N64+O64+P64+Q64+R64+S64</f>
        <v>0</v>
      </c>
      <c r="V64" s="26">
        <f t="shared" si="22"/>
        <v>75000</v>
      </c>
    </row>
    <row r="65" spans="1:22" ht="15">
      <c r="A65" s="27"/>
      <c r="B65" s="1"/>
      <c r="C65" s="1"/>
      <c r="D65" s="1"/>
      <c r="E65" s="55"/>
      <c r="F65" s="83"/>
      <c r="G65" s="26"/>
      <c r="H65" s="30"/>
      <c r="I65" s="30"/>
      <c r="J65" s="30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30">
        <f>+H65+I65+J65+K65+L65+M65+N65+O65+P65+Q65+R65</f>
        <v>0</v>
      </c>
      <c r="V65" s="26">
        <f t="shared" si="22"/>
        <v>0</v>
      </c>
    </row>
    <row r="66" spans="1:22" ht="15">
      <c r="A66" s="27">
        <v>2</v>
      </c>
      <c r="B66" s="1">
        <v>2</v>
      </c>
      <c r="C66" s="1">
        <v>4</v>
      </c>
      <c r="D66" s="29"/>
      <c r="E66" s="55"/>
      <c r="F66" s="83" t="s">
        <v>77</v>
      </c>
      <c r="G66" s="26">
        <f>+G67+G68</f>
        <v>70000</v>
      </c>
      <c r="H66" s="30">
        <f aca="true" t="shared" si="23" ref="H66:U66">+H67+H68</f>
        <v>0</v>
      </c>
      <c r="I66" s="30">
        <f t="shared" si="23"/>
        <v>0</v>
      </c>
      <c r="J66" s="26">
        <f t="shared" si="23"/>
        <v>0</v>
      </c>
      <c r="K66" s="26">
        <f t="shared" si="23"/>
        <v>0</v>
      </c>
      <c r="L66" s="26">
        <f t="shared" si="23"/>
        <v>0</v>
      </c>
      <c r="M66" s="26">
        <f t="shared" si="23"/>
        <v>0</v>
      </c>
      <c r="N66" s="26">
        <f t="shared" si="23"/>
        <v>0</v>
      </c>
      <c r="O66" s="26">
        <f t="shared" si="23"/>
        <v>0</v>
      </c>
      <c r="P66" s="26">
        <f t="shared" si="23"/>
        <v>0</v>
      </c>
      <c r="Q66" s="26">
        <f t="shared" si="23"/>
        <v>0</v>
      </c>
      <c r="R66" s="26"/>
      <c r="S66" s="26"/>
      <c r="T66" s="26"/>
      <c r="U66" s="26">
        <f t="shared" si="23"/>
        <v>0</v>
      </c>
      <c r="V66" s="26">
        <f t="shared" si="22"/>
        <v>70000</v>
      </c>
    </row>
    <row r="67" spans="1:22" ht="15">
      <c r="A67" s="27">
        <v>2</v>
      </c>
      <c r="B67" s="1">
        <v>2</v>
      </c>
      <c r="C67" s="1">
        <v>4</v>
      </c>
      <c r="D67" s="1">
        <v>1</v>
      </c>
      <c r="E67" s="53"/>
      <c r="F67" s="83" t="s">
        <v>78</v>
      </c>
      <c r="G67" s="30">
        <v>50000</v>
      </c>
      <c r="H67" s="30"/>
      <c r="I67" s="30">
        <v>0</v>
      </c>
      <c r="J67" s="26"/>
      <c r="K67" s="25"/>
      <c r="L67" s="25"/>
      <c r="M67" s="25"/>
      <c r="N67" s="25"/>
      <c r="O67" s="25">
        <v>0</v>
      </c>
      <c r="P67" s="25"/>
      <c r="Q67" s="25"/>
      <c r="R67" s="25"/>
      <c r="S67" s="25"/>
      <c r="T67" s="25"/>
      <c r="U67" s="30">
        <f>+H67+I67+J67+K67+L67+M67+N67+O67+P67+Q67+R67+S67</f>
        <v>0</v>
      </c>
      <c r="V67" s="26">
        <f t="shared" si="22"/>
        <v>50000</v>
      </c>
    </row>
    <row r="68" spans="1:22" ht="15">
      <c r="A68" s="27">
        <v>2</v>
      </c>
      <c r="B68" s="1">
        <v>2</v>
      </c>
      <c r="C68" s="1">
        <v>4</v>
      </c>
      <c r="D68" s="1">
        <v>4</v>
      </c>
      <c r="E68" s="53"/>
      <c r="F68" s="83" t="s">
        <v>79</v>
      </c>
      <c r="G68" s="30">
        <v>20000</v>
      </c>
      <c r="H68" s="26">
        <v>0</v>
      </c>
      <c r="I68" s="26">
        <v>0</v>
      </c>
      <c r="J68" s="26">
        <v>0</v>
      </c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30">
        <f>+H68+I68+J68+K68+L68+M68+N68+O68+P68+Q68+R68+S68</f>
        <v>0</v>
      </c>
      <c r="V68" s="26">
        <f t="shared" si="22"/>
        <v>20000</v>
      </c>
    </row>
    <row r="69" spans="1:22" ht="10.5" customHeight="1">
      <c r="A69" s="27"/>
      <c r="B69" s="1"/>
      <c r="C69" s="1"/>
      <c r="D69" s="1"/>
      <c r="E69" s="55"/>
      <c r="F69" s="83"/>
      <c r="G69" s="26"/>
      <c r="H69" s="30"/>
      <c r="I69" s="30"/>
      <c r="J69" s="30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30">
        <f>+H69+I69+J69+K69+L69+M69+N69+O69+P69+Q69+R69+S69</f>
        <v>0</v>
      </c>
      <c r="V69" s="26">
        <f t="shared" si="22"/>
        <v>0</v>
      </c>
    </row>
    <row r="70" spans="1:22" ht="15">
      <c r="A70" s="27">
        <v>2</v>
      </c>
      <c r="B70" s="1">
        <v>2</v>
      </c>
      <c r="C70" s="1">
        <v>5</v>
      </c>
      <c r="D70" s="29"/>
      <c r="E70" s="55"/>
      <c r="F70" s="83" t="s">
        <v>80</v>
      </c>
      <c r="G70" s="26">
        <f>G71+G72+G73</f>
        <v>150000</v>
      </c>
      <c r="H70" s="26">
        <f>H71+H72+H73</f>
        <v>0</v>
      </c>
      <c r="I70" s="26">
        <f>I71+I72+I73</f>
        <v>0</v>
      </c>
      <c r="J70" s="26">
        <f>J71+J72+J73</f>
        <v>0</v>
      </c>
      <c r="K70" s="26">
        <f aca="true" t="shared" si="24" ref="K70:Q70">K71+K72+K73</f>
        <v>0</v>
      </c>
      <c r="L70" s="26">
        <f t="shared" si="24"/>
        <v>0</v>
      </c>
      <c r="M70" s="26">
        <f t="shared" si="24"/>
        <v>0</v>
      </c>
      <c r="N70" s="26">
        <f t="shared" si="24"/>
        <v>0</v>
      </c>
      <c r="O70" s="26">
        <f t="shared" si="24"/>
        <v>0</v>
      </c>
      <c r="P70" s="26">
        <f t="shared" si="24"/>
        <v>0</v>
      </c>
      <c r="Q70" s="26">
        <f t="shared" si="24"/>
        <v>0</v>
      </c>
      <c r="R70" s="26"/>
      <c r="S70" s="26"/>
      <c r="T70" s="26"/>
      <c r="U70" s="26">
        <f>U71+U72+U73</f>
        <v>0</v>
      </c>
      <c r="V70" s="26">
        <f t="shared" si="22"/>
        <v>150000</v>
      </c>
    </row>
    <row r="71" spans="1:22" ht="15">
      <c r="A71" s="27">
        <v>2</v>
      </c>
      <c r="B71" s="1">
        <v>2</v>
      </c>
      <c r="C71" s="1">
        <v>5</v>
      </c>
      <c r="D71" s="1">
        <v>1</v>
      </c>
      <c r="E71" s="53" t="s">
        <v>34</v>
      </c>
      <c r="F71" s="83" t="s">
        <v>81</v>
      </c>
      <c r="G71" s="30">
        <v>75000</v>
      </c>
      <c r="H71" s="26"/>
      <c r="I71" s="26"/>
      <c r="J71" s="26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30">
        <f>+H71+I71+J71+K71+L71+M71+N71+O71+P71+Q71+R71+S71</f>
        <v>0</v>
      </c>
      <c r="V71" s="26">
        <f t="shared" si="22"/>
        <v>75000</v>
      </c>
    </row>
    <row r="72" spans="1:22" ht="22.5">
      <c r="A72" s="27">
        <v>2</v>
      </c>
      <c r="B72" s="1">
        <v>2</v>
      </c>
      <c r="C72" s="1">
        <v>5</v>
      </c>
      <c r="D72" s="1">
        <v>4</v>
      </c>
      <c r="E72" s="53"/>
      <c r="F72" s="83" t="s">
        <v>82</v>
      </c>
      <c r="G72" s="30">
        <v>75000</v>
      </c>
      <c r="H72" s="26"/>
      <c r="I72" s="26"/>
      <c r="J72" s="26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30">
        <f>+H72+I72+J72+K72+L72+M72+N72+O72+P72+Q72+R72+S72</f>
        <v>0</v>
      </c>
      <c r="V72" s="26">
        <f t="shared" si="22"/>
        <v>75000</v>
      </c>
    </row>
    <row r="73" spans="1:22" ht="15" customHeight="1">
      <c r="A73" s="27">
        <v>2</v>
      </c>
      <c r="B73" s="1">
        <v>2</v>
      </c>
      <c r="C73" s="1">
        <v>5</v>
      </c>
      <c r="D73" s="1">
        <v>8</v>
      </c>
      <c r="E73" s="53" t="s">
        <v>71</v>
      </c>
      <c r="F73" s="83"/>
      <c r="G73" s="30"/>
      <c r="H73" s="26"/>
      <c r="I73" s="26"/>
      <c r="J73" s="30">
        <v>0</v>
      </c>
      <c r="K73" s="25"/>
      <c r="L73" s="25"/>
      <c r="M73" s="25"/>
      <c r="N73" s="25"/>
      <c r="O73" s="25"/>
      <c r="P73" s="25"/>
      <c r="Q73" s="25">
        <v>0</v>
      </c>
      <c r="R73" s="25"/>
      <c r="S73" s="25"/>
      <c r="T73" s="25"/>
      <c r="U73" s="30">
        <f>+H73+I73+J73+K73+L73+M73+N73+O73+P73+Q73+R73+S73</f>
        <v>0</v>
      </c>
      <c r="V73" s="26">
        <f t="shared" si="22"/>
        <v>0</v>
      </c>
    </row>
    <row r="74" spans="1:22" ht="15">
      <c r="A74" s="27"/>
      <c r="B74" s="1"/>
      <c r="C74" s="1"/>
      <c r="D74" s="1"/>
      <c r="E74" s="55"/>
      <c r="F74" s="83"/>
      <c r="G74" s="26"/>
      <c r="H74" s="30"/>
      <c r="I74" s="30"/>
      <c r="J74" s="30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30">
        <f>+H74+I74+J74+K74+L74+M74+N74+O74+P74+Q74</f>
        <v>0</v>
      </c>
      <c r="V74" s="26">
        <f t="shared" si="22"/>
        <v>0</v>
      </c>
    </row>
    <row r="75" spans="1:23" ht="15">
      <c r="A75" s="27">
        <v>2</v>
      </c>
      <c r="B75" s="1">
        <v>2</v>
      </c>
      <c r="C75" s="1">
        <v>6</v>
      </c>
      <c r="D75" s="29"/>
      <c r="E75" s="55"/>
      <c r="F75" s="83" t="s">
        <v>83</v>
      </c>
      <c r="G75" s="26">
        <f>SUM(G76:G79)</f>
        <v>2816584.34</v>
      </c>
      <c r="H75" s="26">
        <f aca="true" t="shared" si="25" ref="H75:U75">SUM(H76:H79)</f>
        <v>0</v>
      </c>
      <c r="I75" s="26">
        <f t="shared" si="25"/>
        <v>496217.68</v>
      </c>
      <c r="J75" s="26">
        <f t="shared" si="25"/>
        <v>202263.33000000002</v>
      </c>
      <c r="K75" s="26">
        <f t="shared" si="25"/>
        <v>24704.64</v>
      </c>
      <c r="L75" s="26">
        <f t="shared" si="25"/>
        <v>231855.58000000002</v>
      </c>
      <c r="M75" s="26">
        <f t="shared" si="25"/>
        <v>0</v>
      </c>
      <c r="N75" s="26">
        <f t="shared" si="25"/>
        <v>0</v>
      </c>
      <c r="O75" s="26">
        <f t="shared" si="25"/>
        <v>0</v>
      </c>
      <c r="P75" s="26">
        <f t="shared" si="25"/>
        <v>0</v>
      </c>
      <c r="Q75" s="26">
        <f t="shared" si="25"/>
        <v>0</v>
      </c>
      <c r="R75" s="26">
        <f t="shared" si="25"/>
        <v>0</v>
      </c>
      <c r="S75" s="26">
        <f t="shared" si="25"/>
        <v>0</v>
      </c>
      <c r="T75" s="26"/>
      <c r="U75" s="26">
        <f t="shared" si="25"/>
        <v>955041.23</v>
      </c>
      <c r="V75" s="26">
        <f t="shared" si="22"/>
        <v>1861543.1099999999</v>
      </c>
      <c r="W75" s="98">
        <f>+U75/G75</f>
        <v>0.3390778030101524</v>
      </c>
    </row>
    <row r="76" spans="1:22" ht="15">
      <c r="A76" s="27">
        <v>2</v>
      </c>
      <c r="B76" s="1">
        <v>2</v>
      </c>
      <c r="C76" s="1">
        <v>6</v>
      </c>
      <c r="D76" s="1">
        <v>1</v>
      </c>
      <c r="E76" s="53"/>
      <c r="F76" s="83" t="s">
        <v>84</v>
      </c>
      <c r="G76" s="30">
        <v>80000</v>
      </c>
      <c r="H76" s="26"/>
      <c r="I76" s="26"/>
      <c r="J76" s="26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0">
        <f>+H76+I76+J76+K76+L76+M76+N76+O76+P76+Q76+R76+S76</f>
        <v>0</v>
      </c>
      <c r="V76" s="26">
        <f t="shared" si="22"/>
        <v>80000</v>
      </c>
    </row>
    <row r="77" spans="1:22" ht="15">
      <c r="A77" s="27">
        <v>2</v>
      </c>
      <c r="B77" s="1">
        <v>2</v>
      </c>
      <c r="C77" s="1">
        <v>6</v>
      </c>
      <c r="D77" s="1">
        <v>2</v>
      </c>
      <c r="E77" s="53"/>
      <c r="F77" s="83" t="s">
        <v>85</v>
      </c>
      <c r="G77" s="30">
        <v>600000</v>
      </c>
      <c r="H77" s="30">
        <v>0</v>
      </c>
      <c r="I77" s="30">
        <v>0</v>
      </c>
      <c r="J77" s="26"/>
      <c r="K77" s="25">
        <v>10343.89</v>
      </c>
      <c r="L77" s="25">
        <v>9693.61</v>
      </c>
      <c r="M77" s="25"/>
      <c r="N77" s="25"/>
      <c r="O77" s="25"/>
      <c r="P77" s="25"/>
      <c r="Q77" s="25"/>
      <c r="R77" s="25"/>
      <c r="S77" s="25"/>
      <c r="T77" s="25"/>
      <c r="U77" s="30">
        <f>+H77+I77+J77+K77+L77+M77+N77+O77+P77+Q77+R77+S77</f>
        <v>20037.5</v>
      </c>
      <c r="V77" s="26">
        <f t="shared" si="22"/>
        <v>579962.5</v>
      </c>
    </row>
    <row r="78" spans="1:22" ht="15">
      <c r="A78" s="27">
        <v>2</v>
      </c>
      <c r="B78" s="1">
        <v>2</v>
      </c>
      <c r="C78" s="1">
        <v>6</v>
      </c>
      <c r="D78" s="1">
        <v>3</v>
      </c>
      <c r="E78" s="53"/>
      <c r="F78" s="83" t="s">
        <v>86</v>
      </c>
      <c r="G78" s="30">
        <v>2126584.34</v>
      </c>
      <c r="H78" s="30">
        <v>0</v>
      </c>
      <c r="I78" s="30">
        <f>234325.4+13783.44+234325.4+13783.44</f>
        <v>496217.68</v>
      </c>
      <c r="J78" s="30">
        <f>187146.16+15117.17</f>
        <v>202263.33000000002</v>
      </c>
      <c r="K78" s="25">
        <v>14360.75</v>
      </c>
      <c r="L78" s="25">
        <f>205255.71+16906.26</f>
        <v>222161.97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/>
      <c r="S78" s="25">
        <v>0</v>
      </c>
      <c r="T78" s="25"/>
      <c r="U78" s="30">
        <f>+H78+I78+J78+K78+L78+M78+N78+O78+P78+Q78+R78+S78</f>
        <v>935003.73</v>
      </c>
      <c r="V78" s="26">
        <f t="shared" si="22"/>
        <v>1191580.6099999999</v>
      </c>
    </row>
    <row r="79" spans="1:22" ht="15">
      <c r="A79" s="27">
        <v>2</v>
      </c>
      <c r="B79" s="33">
        <v>2</v>
      </c>
      <c r="C79" s="33">
        <v>6</v>
      </c>
      <c r="D79" s="33">
        <v>9</v>
      </c>
      <c r="E79" s="60"/>
      <c r="F79" s="83" t="s">
        <v>87</v>
      </c>
      <c r="G79" s="30">
        <v>10000</v>
      </c>
      <c r="H79" s="26"/>
      <c r="I79" s="26"/>
      <c r="J79" s="26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30">
        <f>+H79+I79+J79+K79+L79+M79+N79+O79+P79+Q79+R79+S79</f>
        <v>0</v>
      </c>
      <c r="V79" s="26">
        <f t="shared" si="22"/>
        <v>10000</v>
      </c>
    </row>
    <row r="80" spans="1:22" ht="15.75" thickBot="1">
      <c r="A80" s="27"/>
      <c r="B80" s="36"/>
      <c r="C80" s="36"/>
      <c r="D80" s="36"/>
      <c r="E80" s="61"/>
      <c r="F80" s="83"/>
      <c r="G80" s="26"/>
      <c r="H80" s="30"/>
      <c r="I80" s="30"/>
      <c r="J80" s="30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30">
        <f>+H80+I80+J80+K80+L80+M80+N80+O80+P80+Q80+R80+S80</f>
        <v>0</v>
      </c>
      <c r="V80" s="26">
        <f t="shared" si="22"/>
        <v>0</v>
      </c>
    </row>
    <row r="81" spans="1:23" ht="21">
      <c r="A81" s="27">
        <v>2</v>
      </c>
      <c r="B81" s="24">
        <v>2</v>
      </c>
      <c r="C81" s="24">
        <v>7</v>
      </c>
      <c r="D81" s="34"/>
      <c r="E81" s="58"/>
      <c r="F81" s="85" t="s">
        <v>88</v>
      </c>
      <c r="G81" s="26">
        <f>G82+G86</f>
        <v>955000</v>
      </c>
      <c r="H81" s="26">
        <f>H82+H86</f>
        <v>0</v>
      </c>
      <c r="I81" s="26">
        <f>I82+I86</f>
        <v>19587.25</v>
      </c>
      <c r="J81" s="26">
        <f aca="true" t="shared" si="26" ref="J81:S81">J82+J86</f>
        <v>130672.07</v>
      </c>
      <c r="K81" s="26">
        <f t="shared" si="26"/>
        <v>53689.26</v>
      </c>
      <c r="L81" s="26">
        <f t="shared" si="26"/>
        <v>51829.93000000001</v>
      </c>
      <c r="M81" s="26">
        <f t="shared" si="26"/>
        <v>0</v>
      </c>
      <c r="N81" s="26">
        <f t="shared" si="26"/>
        <v>0</v>
      </c>
      <c r="O81" s="26">
        <f t="shared" si="26"/>
        <v>0</v>
      </c>
      <c r="P81" s="26">
        <f t="shared" si="26"/>
        <v>0</v>
      </c>
      <c r="Q81" s="26">
        <f t="shared" si="26"/>
        <v>0</v>
      </c>
      <c r="R81" s="26">
        <f t="shared" si="26"/>
        <v>0</v>
      </c>
      <c r="S81" s="26">
        <f t="shared" si="26"/>
        <v>0</v>
      </c>
      <c r="T81" s="26"/>
      <c r="U81" s="26">
        <f>U82+U86</f>
        <v>255778.51</v>
      </c>
      <c r="V81" s="26">
        <f t="shared" si="22"/>
        <v>699221.49</v>
      </c>
      <c r="W81" s="98">
        <f>+U81/G81</f>
        <v>0.26783090052356023</v>
      </c>
    </row>
    <row r="82" spans="1:22" ht="15">
      <c r="A82" s="27">
        <v>2</v>
      </c>
      <c r="B82" s="1">
        <v>2</v>
      </c>
      <c r="C82" s="1">
        <v>7</v>
      </c>
      <c r="D82" s="1">
        <v>1</v>
      </c>
      <c r="E82" s="56" t="s">
        <v>19</v>
      </c>
      <c r="F82" s="1" t="s">
        <v>89</v>
      </c>
      <c r="G82" s="26">
        <f>+G83+G84+G85</f>
        <v>465000</v>
      </c>
      <c r="H82" s="26">
        <f aca="true" t="shared" si="27" ref="H82:Q82">H83+H84+H85</f>
        <v>0</v>
      </c>
      <c r="I82" s="26">
        <f t="shared" si="27"/>
        <v>0</v>
      </c>
      <c r="J82" s="26">
        <f t="shared" si="27"/>
        <v>97350</v>
      </c>
      <c r="K82" s="26">
        <f t="shared" si="27"/>
        <v>32450</v>
      </c>
      <c r="L82" s="26">
        <f t="shared" si="27"/>
        <v>44475.380000000005</v>
      </c>
      <c r="M82" s="26">
        <f t="shared" si="27"/>
        <v>0</v>
      </c>
      <c r="N82" s="26">
        <f t="shared" si="27"/>
        <v>0</v>
      </c>
      <c r="O82" s="26">
        <f t="shared" si="27"/>
        <v>0</v>
      </c>
      <c r="P82" s="26">
        <f t="shared" si="27"/>
        <v>0</v>
      </c>
      <c r="Q82" s="26">
        <f t="shared" si="27"/>
        <v>0</v>
      </c>
      <c r="R82" s="26"/>
      <c r="S82" s="26"/>
      <c r="T82" s="26"/>
      <c r="U82" s="26">
        <f>U83+U84+U85</f>
        <v>174275.38</v>
      </c>
      <c r="V82" s="26">
        <f t="shared" si="22"/>
        <v>290724.62</v>
      </c>
    </row>
    <row r="83" spans="1:22" ht="23.25">
      <c r="A83" s="28">
        <v>2</v>
      </c>
      <c r="B83" s="29">
        <v>2</v>
      </c>
      <c r="C83" s="29">
        <v>7</v>
      </c>
      <c r="D83" s="29">
        <v>1</v>
      </c>
      <c r="E83" s="54" t="s">
        <v>23</v>
      </c>
      <c r="F83" s="29" t="s">
        <v>90</v>
      </c>
      <c r="G83" s="30">
        <v>400000</v>
      </c>
      <c r="H83" s="30"/>
      <c r="I83" s="30"/>
      <c r="J83" s="30">
        <f>64900+32450</f>
        <v>97350</v>
      </c>
      <c r="K83" s="25">
        <v>32450</v>
      </c>
      <c r="L83" s="25">
        <f>9074.2+35401.18</f>
        <v>44475.380000000005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/>
      <c r="S83" s="25"/>
      <c r="T83" s="25"/>
      <c r="U83" s="30">
        <f>+H83+I83+J83+K83+L83+M83+N83+O83+P83+Q83+R83+S83</f>
        <v>174275.38</v>
      </c>
      <c r="V83" s="26">
        <f t="shared" si="22"/>
        <v>225724.62</v>
      </c>
    </row>
    <row r="84" spans="1:22" ht="15.75" thickBot="1">
      <c r="A84" s="37">
        <v>2</v>
      </c>
      <c r="B84" s="38">
        <v>2</v>
      </c>
      <c r="C84" s="38">
        <v>7</v>
      </c>
      <c r="D84" s="38">
        <v>1</v>
      </c>
      <c r="E84" s="62" t="s">
        <v>42</v>
      </c>
      <c r="F84" s="29" t="s">
        <v>91</v>
      </c>
      <c r="G84" s="30">
        <v>15000</v>
      </c>
      <c r="H84" s="30">
        <v>0</v>
      </c>
      <c r="I84" s="30">
        <v>0</v>
      </c>
      <c r="J84" s="30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/>
      <c r="S84" s="25"/>
      <c r="T84" s="25"/>
      <c r="U84" s="26">
        <f>+H84+I84+J84+K84+L84+M84+N84+O84+P84+Q84+R84+S84</f>
        <v>0</v>
      </c>
      <c r="V84" s="26">
        <f t="shared" si="22"/>
        <v>15000</v>
      </c>
    </row>
    <row r="85" spans="1:22" ht="23.25">
      <c r="A85" s="39">
        <v>2</v>
      </c>
      <c r="B85" s="34">
        <v>2</v>
      </c>
      <c r="C85" s="34">
        <v>7</v>
      </c>
      <c r="D85" s="34">
        <v>1</v>
      </c>
      <c r="E85" s="63" t="s">
        <v>92</v>
      </c>
      <c r="F85" s="29" t="s">
        <v>93</v>
      </c>
      <c r="G85" s="30">
        <v>50000</v>
      </c>
      <c r="H85" s="30"/>
      <c r="I85" s="30"/>
      <c r="J85" s="30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6">
        <f>+H85+I85+J85+K85+L85+M85+N85+O85+P85+Q85+R85+S85</f>
        <v>0</v>
      </c>
      <c r="V85" s="26">
        <f t="shared" si="22"/>
        <v>50000</v>
      </c>
    </row>
    <row r="86" spans="1:22" ht="22.5">
      <c r="A86" s="27">
        <v>2</v>
      </c>
      <c r="B86" s="1">
        <v>2</v>
      </c>
      <c r="C86" s="1">
        <v>7</v>
      </c>
      <c r="D86" s="1">
        <v>2</v>
      </c>
      <c r="E86" s="53"/>
      <c r="F86" s="1" t="s">
        <v>94</v>
      </c>
      <c r="G86" s="26">
        <f aca="true" t="shared" si="28" ref="G86:Q86">G87+G88+G89+G90</f>
        <v>490000</v>
      </c>
      <c r="H86" s="26">
        <f t="shared" si="28"/>
        <v>0</v>
      </c>
      <c r="I86" s="26">
        <f t="shared" si="28"/>
        <v>19587.25</v>
      </c>
      <c r="J86" s="26">
        <f t="shared" si="28"/>
        <v>33322.07</v>
      </c>
      <c r="K86" s="26">
        <f t="shared" si="28"/>
        <v>21239.260000000002</v>
      </c>
      <c r="L86" s="26">
        <f t="shared" si="28"/>
        <v>7354.55</v>
      </c>
      <c r="M86" s="26">
        <f t="shared" si="28"/>
        <v>0</v>
      </c>
      <c r="N86" s="26">
        <f t="shared" si="28"/>
        <v>0</v>
      </c>
      <c r="O86" s="26">
        <f t="shared" si="28"/>
        <v>0</v>
      </c>
      <c r="P86" s="26">
        <f t="shared" si="28"/>
        <v>0</v>
      </c>
      <c r="Q86" s="26">
        <f t="shared" si="28"/>
        <v>0</v>
      </c>
      <c r="R86" s="26">
        <f>R87+R88+R89+R90</f>
        <v>0</v>
      </c>
      <c r="S86" s="26">
        <f>S87+S88+S89+S90</f>
        <v>0</v>
      </c>
      <c r="T86" s="26"/>
      <c r="U86" s="26">
        <f>U87+U88+U89+U90</f>
        <v>81503.13</v>
      </c>
      <c r="V86" s="26">
        <f t="shared" si="22"/>
        <v>408496.87</v>
      </c>
    </row>
    <row r="87" spans="1:22" ht="23.25">
      <c r="A87" s="28">
        <v>2</v>
      </c>
      <c r="B87" s="29">
        <v>2</v>
      </c>
      <c r="C87" s="29">
        <v>7</v>
      </c>
      <c r="D87" s="29">
        <v>2</v>
      </c>
      <c r="E87" s="54" t="s">
        <v>19</v>
      </c>
      <c r="F87" s="29" t="s">
        <v>95</v>
      </c>
      <c r="G87" s="30">
        <v>15000</v>
      </c>
      <c r="H87" s="30"/>
      <c r="I87" s="30">
        <v>0</v>
      </c>
      <c r="J87" s="30">
        <v>0</v>
      </c>
      <c r="K87" s="25">
        <f>2596+2500+3422</f>
        <v>8518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/>
      <c r="S87" s="25"/>
      <c r="T87" s="25"/>
      <c r="U87" s="30">
        <f>H87+I87+J87+K87+L87+M87+N87+O87+P87+Q87+R87+S87</f>
        <v>8518</v>
      </c>
      <c r="V87" s="26">
        <f t="shared" si="22"/>
        <v>6482</v>
      </c>
    </row>
    <row r="88" spans="1:22" ht="23.25">
      <c r="A88" s="28">
        <v>2</v>
      </c>
      <c r="B88" s="29">
        <v>2</v>
      </c>
      <c r="C88" s="29">
        <v>7</v>
      </c>
      <c r="D88" s="29">
        <v>2</v>
      </c>
      <c r="E88" s="54" t="s">
        <v>23</v>
      </c>
      <c r="F88" s="29" t="s">
        <v>96</v>
      </c>
      <c r="G88" s="30">
        <v>15000</v>
      </c>
      <c r="H88" s="30"/>
      <c r="I88" s="30">
        <v>0</v>
      </c>
      <c r="J88" s="30"/>
      <c r="K88" s="25"/>
      <c r="L88" s="25">
        <v>0</v>
      </c>
      <c r="M88" s="25"/>
      <c r="N88" s="25"/>
      <c r="O88" s="25">
        <v>0</v>
      </c>
      <c r="P88" s="25">
        <v>0</v>
      </c>
      <c r="Q88" s="25">
        <v>0</v>
      </c>
      <c r="R88" s="25"/>
      <c r="S88" s="25"/>
      <c r="T88" s="25"/>
      <c r="U88" s="30">
        <f>H88+I88+J88+K88+L88+M88+N88+O88+P88+Q88+R88+S88</f>
        <v>0</v>
      </c>
      <c r="V88" s="26">
        <f t="shared" si="22"/>
        <v>15000</v>
      </c>
    </row>
    <row r="89" spans="1:22" ht="23.25">
      <c r="A89" s="28">
        <v>2</v>
      </c>
      <c r="B89" s="29">
        <v>2</v>
      </c>
      <c r="C89" s="29">
        <v>7</v>
      </c>
      <c r="D89" s="29">
        <v>2</v>
      </c>
      <c r="E89" s="54" t="s">
        <v>29</v>
      </c>
      <c r="F89" s="29" t="s">
        <v>97</v>
      </c>
      <c r="G89" s="30">
        <v>10000</v>
      </c>
      <c r="H89" s="30"/>
      <c r="I89" s="30"/>
      <c r="J89" s="30">
        <v>0</v>
      </c>
      <c r="K89" s="25"/>
      <c r="L89" s="25"/>
      <c r="M89" s="25">
        <v>0</v>
      </c>
      <c r="N89" s="25"/>
      <c r="O89" s="25"/>
      <c r="P89" s="25"/>
      <c r="Q89" s="25"/>
      <c r="R89" s="25"/>
      <c r="S89" s="25"/>
      <c r="T89" s="25"/>
      <c r="U89" s="30">
        <f>H89+I89+J89+K89+L89+M89+N89+O89+P89+Q89+R89+S89</f>
        <v>0</v>
      </c>
      <c r="V89" s="26">
        <f t="shared" si="22"/>
        <v>10000</v>
      </c>
    </row>
    <row r="90" spans="1:22" ht="23.25">
      <c r="A90" s="28">
        <v>2</v>
      </c>
      <c r="B90" s="29">
        <v>2</v>
      </c>
      <c r="C90" s="29">
        <v>7</v>
      </c>
      <c r="D90" s="29">
        <v>2</v>
      </c>
      <c r="E90" s="54" t="s">
        <v>42</v>
      </c>
      <c r="F90" s="29" t="s">
        <v>98</v>
      </c>
      <c r="G90" s="30">
        <v>450000</v>
      </c>
      <c r="H90" s="30">
        <v>0</v>
      </c>
      <c r="I90" s="30">
        <f>3775+5496.25+10316</f>
        <v>19587.25</v>
      </c>
      <c r="J90" s="30">
        <f>13481+0+3700+5896.28+4053.73+6191.06</f>
        <v>33322.07</v>
      </c>
      <c r="K90" s="25">
        <f>12721.26</f>
        <v>12721.26</v>
      </c>
      <c r="L90" s="25">
        <f>7354.55</f>
        <v>7354.55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/>
      <c r="S90" s="25">
        <v>0</v>
      </c>
      <c r="T90" s="25"/>
      <c r="U90" s="30">
        <f>H90+I90+J90+K90+L90+M90+N90+O90+P90+Q90+R90+S90</f>
        <v>72985.13</v>
      </c>
      <c r="V90" s="26">
        <f t="shared" si="22"/>
        <v>377014.87</v>
      </c>
    </row>
    <row r="91" spans="1:23" ht="15">
      <c r="A91" s="27">
        <v>2</v>
      </c>
      <c r="B91" s="1">
        <v>2</v>
      </c>
      <c r="C91" s="1">
        <v>8</v>
      </c>
      <c r="D91" s="1"/>
      <c r="E91" s="56"/>
      <c r="F91" s="1" t="s">
        <v>99</v>
      </c>
      <c r="G91" s="26">
        <f>G92+G93+G94+G98+G101+G107</f>
        <v>5550199.88</v>
      </c>
      <c r="H91" s="26">
        <f aca="true" t="shared" si="29" ref="H91:U91">H92+H93+H94+H98+H101+H107</f>
        <v>0</v>
      </c>
      <c r="I91" s="26">
        <f t="shared" si="29"/>
        <v>82000</v>
      </c>
      <c r="J91" s="26">
        <f t="shared" si="29"/>
        <v>345900</v>
      </c>
      <c r="K91" s="26">
        <f t="shared" si="29"/>
        <v>1057100</v>
      </c>
      <c r="L91" s="26">
        <f t="shared" si="29"/>
        <v>38500</v>
      </c>
      <c r="M91" s="26">
        <f t="shared" si="29"/>
        <v>0</v>
      </c>
      <c r="N91" s="26">
        <f t="shared" si="29"/>
        <v>0</v>
      </c>
      <c r="O91" s="26">
        <f t="shared" si="29"/>
        <v>0</v>
      </c>
      <c r="P91" s="26">
        <f t="shared" si="29"/>
        <v>0</v>
      </c>
      <c r="Q91" s="26">
        <f t="shared" si="29"/>
        <v>0</v>
      </c>
      <c r="R91" s="26"/>
      <c r="S91" s="26"/>
      <c r="T91" s="26"/>
      <c r="U91" s="26">
        <f t="shared" si="29"/>
        <v>1523500</v>
      </c>
      <c r="V91" s="26">
        <f t="shared" si="22"/>
        <v>4026699.88</v>
      </c>
      <c r="W91" s="98">
        <f>+U91/G91</f>
        <v>0.2744946187415506</v>
      </c>
    </row>
    <row r="92" spans="1:22" ht="15">
      <c r="A92" s="27">
        <v>2</v>
      </c>
      <c r="B92" s="1">
        <v>2</v>
      </c>
      <c r="C92" s="1">
        <v>8</v>
      </c>
      <c r="D92" s="1">
        <v>1</v>
      </c>
      <c r="E92" s="53"/>
      <c r="F92" s="1" t="s">
        <v>100</v>
      </c>
      <c r="G92" s="30">
        <f>10000-8000</f>
        <v>2000</v>
      </c>
      <c r="H92" s="26"/>
      <c r="I92" s="26"/>
      <c r="J92" s="26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6">
        <f>+H92+I92+J92+K92+L92+M92+N92+O92+P92+Q92+R92+S92</f>
        <v>0</v>
      </c>
      <c r="V92" s="26">
        <f t="shared" si="22"/>
        <v>2000</v>
      </c>
    </row>
    <row r="93" spans="1:22" ht="15">
      <c r="A93" s="27">
        <v>2</v>
      </c>
      <c r="B93" s="1">
        <v>2</v>
      </c>
      <c r="C93" s="1">
        <v>8</v>
      </c>
      <c r="D93" s="1">
        <v>2</v>
      </c>
      <c r="E93" s="53"/>
      <c r="F93" s="1" t="s">
        <v>101</v>
      </c>
      <c r="G93" s="30">
        <v>21361.88</v>
      </c>
      <c r="H93" s="26"/>
      <c r="I93" s="26"/>
      <c r="J93" s="26"/>
      <c r="K93" s="25"/>
      <c r="L93" s="25"/>
      <c r="M93" s="25"/>
      <c r="N93" s="25"/>
      <c r="O93" s="25">
        <v>0</v>
      </c>
      <c r="P93" s="25"/>
      <c r="Q93" s="25"/>
      <c r="R93" s="25"/>
      <c r="S93" s="25"/>
      <c r="T93" s="25"/>
      <c r="U93" s="30">
        <f>+H93+I93+J93+K93+L93+M93+N93+O93+P93+Q93+S93</f>
        <v>0</v>
      </c>
      <c r="V93" s="26">
        <f t="shared" si="22"/>
        <v>21361.88</v>
      </c>
    </row>
    <row r="94" spans="1:22" ht="22.5">
      <c r="A94" s="27">
        <v>2</v>
      </c>
      <c r="B94" s="1">
        <v>2</v>
      </c>
      <c r="C94" s="1">
        <v>8</v>
      </c>
      <c r="D94" s="1">
        <v>5</v>
      </c>
      <c r="E94" s="53"/>
      <c r="F94" s="1" t="s">
        <v>102</v>
      </c>
      <c r="G94" s="26">
        <f>+G95+G96+G97</f>
        <v>12000</v>
      </c>
      <c r="H94" s="26">
        <f>H95+H96+H97</f>
        <v>0</v>
      </c>
      <c r="I94" s="26">
        <f aca="true" t="shared" si="30" ref="I94:O94">I95+I96+I97</f>
        <v>0</v>
      </c>
      <c r="J94" s="26">
        <f t="shared" si="30"/>
        <v>0</v>
      </c>
      <c r="K94" s="26">
        <f t="shared" si="30"/>
        <v>0</v>
      </c>
      <c r="L94" s="26">
        <f t="shared" si="30"/>
        <v>0</v>
      </c>
      <c r="M94" s="26">
        <f t="shared" si="30"/>
        <v>0</v>
      </c>
      <c r="N94" s="26">
        <f t="shared" si="30"/>
        <v>0</v>
      </c>
      <c r="O94" s="26">
        <f t="shared" si="30"/>
        <v>0</v>
      </c>
      <c r="P94" s="26">
        <f>P95+P96+P97</f>
        <v>0</v>
      </c>
      <c r="Q94" s="26">
        <f>Q95+Q96+Q97</f>
        <v>0</v>
      </c>
      <c r="R94" s="26"/>
      <c r="S94" s="26"/>
      <c r="T94" s="26"/>
      <c r="U94" s="26">
        <f>U95+U96+U97</f>
        <v>0</v>
      </c>
      <c r="V94" s="26">
        <f aca="true" t="shared" si="31" ref="V94:V125">G94-U94</f>
        <v>12000</v>
      </c>
    </row>
    <row r="95" spans="1:22" ht="15">
      <c r="A95" s="28">
        <v>2</v>
      </c>
      <c r="B95" s="29">
        <v>2</v>
      </c>
      <c r="C95" s="29">
        <v>8</v>
      </c>
      <c r="D95" s="29">
        <v>5</v>
      </c>
      <c r="E95" s="54" t="s">
        <v>19</v>
      </c>
      <c r="F95" s="29" t="s">
        <v>103</v>
      </c>
      <c r="G95" s="30">
        <v>3000</v>
      </c>
      <c r="H95" s="30"/>
      <c r="I95" s="30"/>
      <c r="J95" s="30"/>
      <c r="K95" s="25"/>
      <c r="L95" s="25"/>
      <c r="M95" s="25"/>
      <c r="N95" s="25"/>
      <c r="O95" s="25">
        <v>0</v>
      </c>
      <c r="P95" s="25"/>
      <c r="Q95" s="25"/>
      <c r="R95" s="25"/>
      <c r="S95" s="25"/>
      <c r="T95" s="25"/>
      <c r="U95" s="26">
        <f>+H95+I95+J95+K95+L95+M95+N95+O95+P95+Q95</f>
        <v>0</v>
      </c>
      <c r="V95" s="26">
        <f t="shared" si="31"/>
        <v>3000</v>
      </c>
    </row>
    <row r="96" spans="1:22" ht="15">
      <c r="A96" s="28">
        <v>2</v>
      </c>
      <c r="B96" s="29">
        <v>2</v>
      </c>
      <c r="C96" s="29">
        <v>8</v>
      </c>
      <c r="D96" s="29">
        <v>5</v>
      </c>
      <c r="E96" s="54" t="s">
        <v>23</v>
      </c>
      <c r="F96" s="29" t="s">
        <v>104</v>
      </c>
      <c r="G96" s="30">
        <f>10000-4000</f>
        <v>6000</v>
      </c>
      <c r="H96" s="30"/>
      <c r="I96" s="30"/>
      <c r="J96" s="30"/>
      <c r="K96" s="25"/>
      <c r="L96" s="25"/>
      <c r="M96" s="25"/>
      <c r="N96" s="25"/>
      <c r="O96" s="25">
        <v>0</v>
      </c>
      <c r="P96" s="25"/>
      <c r="Q96" s="25"/>
      <c r="R96" s="25"/>
      <c r="S96" s="25"/>
      <c r="T96" s="25"/>
      <c r="U96" s="30">
        <f>+H96+I96+K96+O96+P96+Q96+R96+S96</f>
        <v>0</v>
      </c>
      <c r="V96" s="26">
        <f t="shared" si="31"/>
        <v>6000</v>
      </c>
    </row>
    <row r="97" spans="1:22" ht="15">
      <c r="A97" s="28">
        <v>2</v>
      </c>
      <c r="B97" s="29">
        <v>2</v>
      </c>
      <c r="C97" s="29">
        <v>8</v>
      </c>
      <c r="D97" s="29">
        <v>5</v>
      </c>
      <c r="E97" s="54" t="s">
        <v>25</v>
      </c>
      <c r="F97" s="29" t="s">
        <v>105</v>
      </c>
      <c r="G97" s="30">
        <v>3000</v>
      </c>
      <c r="H97" s="30"/>
      <c r="I97" s="30"/>
      <c r="J97" s="30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6">
        <f>+H97+I97+J97+K97+L97+M97+N97+O97+P97+Q97</f>
        <v>0</v>
      </c>
      <c r="V97" s="26">
        <f t="shared" si="31"/>
        <v>3000</v>
      </c>
    </row>
    <row r="98" spans="1:22" ht="15">
      <c r="A98" s="27">
        <v>2</v>
      </c>
      <c r="B98" s="1">
        <v>2</v>
      </c>
      <c r="C98" s="1">
        <v>8</v>
      </c>
      <c r="D98" s="1">
        <v>6</v>
      </c>
      <c r="E98" s="53"/>
      <c r="F98" s="1" t="s">
        <v>106</v>
      </c>
      <c r="G98" s="26">
        <f>+G99+G100</f>
        <v>375000</v>
      </c>
      <c r="H98" s="26">
        <f>H99</f>
        <v>0</v>
      </c>
      <c r="I98" s="26">
        <f>I99</f>
        <v>0</v>
      </c>
      <c r="J98" s="26">
        <f>J99</f>
        <v>0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>
        <f>U99+U100</f>
        <v>0</v>
      </c>
      <c r="V98" s="26">
        <f t="shared" si="31"/>
        <v>375000</v>
      </c>
    </row>
    <row r="99" spans="1:22" ht="15">
      <c r="A99" s="28">
        <v>2</v>
      </c>
      <c r="B99" s="29">
        <v>2</v>
      </c>
      <c r="C99" s="29">
        <v>8</v>
      </c>
      <c r="D99" s="29">
        <v>6</v>
      </c>
      <c r="E99" s="54" t="s">
        <v>19</v>
      </c>
      <c r="F99" s="29" t="s">
        <v>107</v>
      </c>
      <c r="G99" s="30">
        <v>300000</v>
      </c>
      <c r="H99" s="30"/>
      <c r="I99" s="30"/>
      <c r="J99" s="30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6">
        <f>+H99+I99+J99+K99+L99+M99+N99+O99+P99+Q99+R99+S99</f>
        <v>0</v>
      </c>
      <c r="V99" s="26">
        <f t="shared" si="31"/>
        <v>300000</v>
      </c>
    </row>
    <row r="100" spans="1:22" ht="15">
      <c r="A100" s="28">
        <v>2</v>
      </c>
      <c r="B100" s="29">
        <v>2</v>
      </c>
      <c r="C100" s="29">
        <v>8</v>
      </c>
      <c r="D100" s="29">
        <v>6</v>
      </c>
      <c r="E100" s="54" t="s">
        <v>23</v>
      </c>
      <c r="F100" s="29" t="s">
        <v>108</v>
      </c>
      <c r="G100" s="30">
        <v>75000</v>
      </c>
      <c r="H100" s="30"/>
      <c r="I100" s="30"/>
      <c r="J100" s="30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6">
        <f>+H100+I100+J100+K100+L100+M100+N100+O100+P100+Q100+R100+S100</f>
        <v>0</v>
      </c>
      <c r="V100" s="26">
        <f t="shared" si="31"/>
        <v>75000</v>
      </c>
    </row>
    <row r="101" spans="1:23" ht="15">
      <c r="A101" s="27">
        <v>2</v>
      </c>
      <c r="B101" s="1">
        <v>2</v>
      </c>
      <c r="C101" s="1">
        <v>8</v>
      </c>
      <c r="D101" s="1">
        <v>7</v>
      </c>
      <c r="E101" s="53"/>
      <c r="F101" s="1" t="s">
        <v>109</v>
      </c>
      <c r="G101" s="26">
        <f aca="true" t="shared" si="32" ref="G101:Q101">G102+G103+G104+G105+G106</f>
        <v>5115838</v>
      </c>
      <c r="H101" s="26">
        <f t="shared" si="32"/>
        <v>0</v>
      </c>
      <c r="I101" s="26">
        <f t="shared" si="32"/>
        <v>82000</v>
      </c>
      <c r="J101" s="26">
        <f t="shared" si="32"/>
        <v>345900</v>
      </c>
      <c r="K101" s="26">
        <f t="shared" si="32"/>
        <v>1057100</v>
      </c>
      <c r="L101" s="26">
        <f t="shared" si="32"/>
        <v>38500</v>
      </c>
      <c r="M101" s="26">
        <f t="shared" si="32"/>
        <v>0</v>
      </c>
      <c r="N101" s="26">
        <f t="shared" si="32"/>
        <v>0</v>
      </c>
      <c r="O101" s="26">
        <f t="shared" si="32"/>
        <v>0</v>
      </c>
      <c r="P101" s="26">
        <f t="shared" si="32"/>
        <v>0</v>
      </c>
      <c r="Q101" s="26">
        <f t="shared" si="32"/>
        <v>0</v>
      </c>
      <c r="R101" s="26"/>
      <c r="S101" s="26"/>
      <c r="T101" s="26"/>
      <c r="U101" s="26">
        <f>U102+U103+U104+U105+U106</f>
        <v>1523500</v>
      </c>
      <c r="V101" s="26">
        <f t="shared" si="31"/>
        <v>3592338</v>
      </c>
      <c r="W101" s="98">
        <f>+U101/G101</f>
        <v>0.29780067312530223</v>
      </c>
    </row>
    <row r="102" spans="1:22" ht="23.25">
      <c r="A102" s="28">
        <v>2</v>
      </c>
      <c r="B102" s="29">
        <v>2</v>
      </c>
      <c r="C102" s="29">
        <v>8</v>
      </c>
      <c r="D102" s="29">
        <v>7</v>
      </c>
      <c r="E102" s="54" t="s">
        <v>19</v>
      </c>
      <c r="F102" s="29" t="s">
        <v>110</v>
      </c>
      <c r="G102" s="30">
        <v>0</v>
      </c>
      <c r="H102" s="30">
        <v>0</v>
      </c>
      <c r="I102" s="30">
        <v>0</v>
      </c>
      <c r="J102" s="30"/>
      <c r="K102" s="25"/>
      <c r="L102" s="25"/>
      <c r="M102" s="25">
        <v>0</v>
      </c>
      <c r="N102" s="25"/>
      <c r="O102" s="25">
        <v>0</v>
      </c>
      <c r="P102" s="25">
        <v>0</v>
      </c>
      <c r="Q102" s="25"/>
      <c r="R102" s="25"/>
      <c r="S102" s="25"/>
      <c r="T102" s="25"/>
      <c r="U102" s="30">
        <f>+H102+I102+J102+K102+L102+M102+N102+O102+P102+Q102+R102+S102</f>
        <v>0</v>
      </c>
      <c r="V102" s="26">
        <f t="shared" si="31"/>
        <v>0</v>
      </c>
    </row>
    <row r="103" spans="1:22" ht="15">
      <c r="A103" s="28">
        <v>2</v>
      </c>
      <c r="B103" s="29">
        <v>2</v>
      </c>
      <c r="C103" s="29">
        <v>8</v>
      </c>
      <c r="D103" s="29">
        <v>7</v>
      </c>
      <c r="E103" s="54" t="s">
        <v>23</v>
      </c>
      <c r="F103" s="29" t="s">
        <v>111</v>
      </c>
      <c r="G103" s="30">
        <v>0</v>
      </c>
      <c r="H103" s="30"/>
      <c r="I103" s="30"/>
      <c r="J103" s="30"/>
      <c r="K103" s="25">
        <v>0</v>
      </c>
      <c r="L103" s="25"/>
      <c r="M103" s="25"/>
      <c r="N103" s="25"/>
      <c r="O103" s="25"/>
      <c r="P103" s="25">
        <v>0</v>
      </c>
      <c r="Q103" s="25"/>
      <c r="R103" s="25"/>
      <c r="S103" s="25"/>
      <c r="T103" s="25"/>
      <c r="U103" s="30">
        <f>+H103+I103+J103+K103+L103+M103+N103+O103+P103+Q103+R103+S103</f>
        <v>0</v>
      </c>
      <c r="V103" s="26">
        <f t="shared" si="31"/>
        <v>0</v>
      </c>
    </row>
    <row r="104" spans="1:22" ht="15">
      <c r="A104" s="28">
        <v>2</v>
      </c>
      <c r="B104" s="29">
        <v>2</v>
      </c>
      <c r="C104" s="29">
        <v>8</v>
      </c>
      <c r="D104" s="29">
        <v>7</v>
      </c>
      <c r="E104" s="54" t="s">
        <v>27</v>
      </c>
      <c r="F104" s="29" t="s">
        <v>112</v>
      </c>
      <c r="G104" s="30">
        <v>4405838</v>
      </c>
      <c r="H104" s="30">
        <v>0</v>
      </c>
      <c r="I104" s="30">
        <f>22500+22500</f>
        <v>45000</v>
      </c>
      <c r="J104" s="30">
        <f>22500+249400</f>
        <v>271900</v>
      </c>
      <c r="K104" s="25">
        <f>498800+22500+498800</f>
        <v>1020100</v>
      </c>
      <c r="L104" s="25">
        <v>1500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/>
      <c r="S104" s="25"/>
      <c r="T104" s="25"/>
      <c r="U104" s="30">
        <f>+H104+I104+J104+K104+L104+M104+N104+O104+P104+Q104+R104+S104</f>
        <v>1338500</v>
      </c>
      <c r="V104" s="26">
        <f t="shared" si="31"/>
        <v>3067338</v>
      </c>
    </row>
    <row r="105" spans="1:22" ht="24" thickBot="1">
      <c r="A105" s="37">
        <v>2</v>
      </c>
      <c r="B105" s="38">
        <v>2</v>
      </c>
      <c r="C105" s="38">
        <v>8</v>
      </c>
      <c r="D105" s="38">
        <v>7</v>
      </c>
      <c r="E105" s="62" t="s">
        <v>29</v>
      </c>
      <c r="F105" s="29" t="s">
        <v>113</v>
      </c>
      <c r="G105" s="30">
        <v>10000</v>
      </c>
      <c r="H105" s="30"/>
      <c r="I105" s="30">
        <v>0</v>
      </c>
      <c r="J105" s="30">
        <v>0</v>
      </c>
      <c r="K105" s="25"/>
      <c r="L105" s="25"/>
      <c r="M105" s="25">
        <v>0</v>
      </c>
      <c r="N105" s="25"/>
      <c r="O105" s="25"/>
      <c r="P105" s="25">
        <v>0</v>
      </c>
      <c r="Q105" s="25"/>
      <c r="R105" s="25"/>
      <c r="S105" s="25"/>
      <c r="T105" s="25"/>
      <c r="U105" s="30">
        <f>+H105+I105+J105+K105+L105+M105+N105+O105+P105+Q105+R105+S105</f>
        <v>0</v>
      </c>
      <c r="V105" s="26">
        <f t="shared" si="31"/>
        <v>10000</v>
      </c>
    </row>
    <row r="106" spans="1:22" ht="15">
      <c r="A106" s="39">
        <v>2</v>
      </c>
      <c r="B106" s="34">
        <v>2</v>
      </c>
      <c r="C106" s="34">
        <v>8</v>
      </c>
      <c r="D106" s="34">
        <v>7</v>
      </c>
      <c r="E106" s="63" t="s">
        <v>42</v>
      </c>
      <c r="F106" s="29" t="s">
        <v>114</v>
      </c>
      <c r="G106" s="30">
        <v>700000</v>
      </c>
      <c r="H106" s="30">
        <v>0</v>
      </c>
      <c r="I106" s="30">
        <v>37000</v>
      </c>
      <c r="J106" s="30">
        <f>37000+37000</f>
        <v>74000</v>
      </c>
      <c r="K106" s="25">
        <v>37000</v>
      </c>
      <c r="L106" s="25">
        <v>37000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/>
      <c r="S106" s="25"/>
      <c r="T106" s="25"/>
      <c r="U106" s="30">
        <f>+H106+I106+J106+K106+L106+M106+N106+O106+P106+Q106+R106+S106</f>
        <v>185000</v>
      </c>
      <c r="V106" s="26">
        <f t="shared" si="31"/>
        <v>515000</v>
      </c>
    </row>
    <row r="107" spans="1:22" ht="15">
      <c r="A107" s="27">
        <v>2</v>
      </c>
      <c r="B107" s="1">
        <v>2</v>
      </c>
      <c r="C107" s="1">
        <v>8</v>
      </c>
      <c r="D107" s="1">
        <v>8</v>
      </c>
      <c r="E107" s="53"/>
      <c r="F107" s="1" t="s">
        <v>115</v>
      </c>
      <c r="G107" s="26">
        <f aca="true" t="shared" si="33" ref="G107:Q107">G108+G109</f>
        <v>24000</v>
      </c>
      <c r="H107" s="26">
        <f t="shared" si="33"/>
        <v>0</v>
      </c>
      <c r="I107" s="26">
        <f t="shared" si="33"/>
        <v>0</v>
      </c>
      <c r="J107" s="26">
        <f t="shared" si="33"/>
        <v>0</v>
      </c>
      <c r="K107" s="26">
        <f t="shared" si="33"/>
        <v>0</v>
      </c>
      <c r="L107" s="26">
        <f t="shared" si="33"/>
        <v>0</v>
      </c>
      <c r="M107" s="26">
        <f t="shared" si="33"/>
        <v>0</v>
      </c>
      <c r="N107" s="26">
        <f t="shared" si="33"/>
        <v>0</v>
      </c>
      <c r="O107" s="26">
        <f t="shared" si="33"/>
        <v>0</v>
      </c>
      <c r="P107" s="26">
        <f t="shared" si="33"/>
        <v>0</v>
      </c>
      <c r="Q107" s="26">
        <f t="shared" si="33"/>
        <v>0</v>
      </c>
      <c r="R107" s="26"/>
      <c r="S107" s="26"/>
      <c r="T107" s="26"/>
      <c r="U107" s="26">
        <f>U108+U109</f>
        <v>0</v>
      </c>
      <c r="V107" s="26">
        <f t="shared" si="31"/>
        <v>24000</v>
      </c>
    </row>
    <row r="108" spans="1:22" ht="15">
      <c r="A108" s="28">
        <v>2</v>
      </c>
      <c r="B108" s="29">
        <v>2</v>
      </c>
      <c r="C108" s="29">
        <v>8</v>
      </c>
      <c r="D108" s="29">
        <v>8</v>
      </c>
      <c r="E108" s="54" t="s">
        <v>19</v>
      </c>
      <c r="F108" s="29" t="s">
        <v>116</v>
      </c>
      <c r="G108" s="30">
        <v>20000</v>
      </c>
      <c r="H108" s="30"/>
      <c r="I108" s="30"/>
      <c r="J108" s="30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30">
        <f>+S108</f>
        <v>0</v>
      </c>
      <c r="V108" s="26">
        <f t="shared" si="31"/>
        <v>20000</v>
      </c>
    </row>
    <row r="109" spans="1:22" ht="15">
      <c r="A109" s="28">
        <v>2</v>
      </c>
      <c r="B109" s="29">
        <v>2</v>
      </c>
      <c r="C109" s="29">
        <v>8</v>
      </c>
      <c r="D109" s="29">
        <v>8</v>
      </c>
      <c r="E109" s="54" t="s">
        <v>25</v>
      </c>
      <c r="F109" s="29" t="s">
        <v>117</v>
      </c>
      <c r="G109" s="30">
        <v>4000</v>
      </c>
      <c r="H109" s="30"/>
      <c r="I109" s="30"/>
      <c r="J109" s="30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30">
        <f>+H109+I109+J109+K109+L109+M109+N109+O109+P109+Q109+R109+S109</f>
        <v>0</v>
      </c>
      <c r="V109" s="26">
        <f t="shared" si="31"/>
        <v>4000</v>
      </c>
    </row>
    <row r="110" spans="1:22" ht="15.75" thickBot="1">
      <c r="A110" s="40"/>
      <c r="B110" s="41"/>
      <c r="C110" s="41"/>
      <c r="D110" s="41"/>
      <c r="E110" s="57"/>
      <c r="F110" s="1"/>
      <c r="G110" s="30"/>
      <c r="H110" s="30"/>
      <c r="I110" s="30"/>
      <c r="J110" s="30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30">
        <f>+H110+I110+J110+K110+L110+M110+N110+O110+P110+Q110</f>
        <v>0</v>
      </c>
      <c r="V110" s="26">
        <f t="shared" si="31"/>
        <v>0</v>
      </c>
    </row>
    <row r="111" spans="1:22" ht="15.75" thickBot="1">
      <c r="A111" s="21">
        <v>2</v>
      </c>
      <c r="B111" s="22">
        <v>3</v>
      </c>
      <c r="C111" s="22"/>
      <c r="D111" s="22"/>
      <c r="E111" s="51"/>
      <c r="F111" s="1" t="s">
        <v>118</v>
      </c>
      <c r="G111" s="26">
        <f>G113+G121+G125+G131+G134+G139+G143+G153</f>
        <v>3615482.7800000003</v>
      </c>
      <c r="H111" s="26">
        <f>H113+H121+H125+H131+H134+H139+H143+H153</f>
        <v>0</v>
      </c>
      <c r="I111" s="26">
        <f>I113+I121+I125+I131+I134+I139+I143+I153</f>
        <v>364579.41</v>
      </c>
      <c r="J111" s="26">
        <f aca="true" t="shared" si="34" ref="J111:Q111">J113+J121+J125+J131+J134+J139+J143+J153</f>
        <v>333258.1</v>
      </c>
      <c r="K111" s="26">
        <f>K113+K121+K125+K131+K134+K139+K143+K149+K153</f>
        <v>408117.63</v>
      </c>
      <c r="L111" s="26">
        <f t="shared" si="34"/>
        <v>275409.5</v>
      </c>
      <c r="M111" s="26">
        <f t="shared" si="34"/>
        <v>0</v>
      </c>
      <c r="N111" s="26">
        <f t="shared" si="34"/>
        <v>0</v>
      </c>
      <c r="O111" s="26">
        <f t="shared" si="34"/>
        <v>0</v>
      </c>
      <c r="P111" s="26">
        <f t="shared" si="34"/>
        <v>0</v>
      </c>
      <c r="Q111" s="26">
        <f t="shared" si="34"/>
        <v>0</v>
      </c>
      <c r="R111" s="26"/>
      <c r="S111" s="26"/>
      <c r="T111" s="26"/>
      <c r="U111" s="26">
        <f>U113+U121+U125+U131+U134+U139+U143+U149+U153</f>
        <v>1381364.64</v>
      </c>
      <c r="V111" s="26">
        <f t="shared" si="31"/>
        <v>2234118.1400000006</v>
      </c>
    </row>
    <row r="112" spans="1:22" ht="15">
      <c r="A112" s="39"/>
      <c r="B112" s="34"/>
      <c r="C112" s="34"/>
      <c r="D112" s="34"/>
      <c r="E112" s="58"/>
      <c r="F112" s="1"/>
      <c r="G112" s="26"/>
      <c r="H112" s="30"/>
      <c r="I112" s="30"/>
      <c r="J112" s="30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6">
        <f>+H112+I112+J112+K112+L112+M112+N112+O112+P112+Q112</f>
        <v>0</v>
      </c>
      <c r="V112" s="26">
        <f t="shared" si="31"/>
        <v>0</v>
      </c>
    </row>
    <row r="113" spans="1:23" s="70" customFormat="1" ht="15">
      <c r="A113" s="27">
        <v>2</v>
      </c>
      <c r="B113" s="1">
        <v>3</v>
      </c>
      <c r="C113" s="1">
        <v>1</v>
      </c>
      <c r="D113" s="1"/>
      <c r="E113" s="53"/>
      <c r="F113" s="1" t="s">
        <v>119</v>
      </c>
      <c r="G113" s="26">
        <f>G114+G117</f>
        <v>374428</v>
      </c>
      <c r="H113" s="26">
        <f>H114+H117</f>
        <v>0</v>
      </c>
      <c r="I113" s="26">
        <f>I114+I117</f>
        <v>13116.1</v>
      </c>
      <c r="J113" s="26">
        <f>J114+J117</f>
        <v>89778</v>
      </c>
      <c r="K113" s="26">
        <f aca="true" t="shared" si="35" ref="K113:P113">K114+K117</f>
        <v>83072.4</v>
      </c>
      <c r="L113" s="26">
        <f t="shared" si="35"/>
        <v>80914</v>
      </c>
      <c r="M113" s="26">
        <f t="shared" si="35"/>
        <v>0</v>
      </c>
      <c r="N113" s="26">
        <f t="shared" si="35"/>
        <v>0</v>
      </c>
      <c r="O113" s="26">
        <f t="shared" si="35"/>
        <v>0</v>
      </c>
      <c r="P113" s="26">
        <f t="shared" si="35"/>
        <v>0</v>
      </c>
      <c r="Q113" s="26">
        <f>Q114+Q117</f>
        <v>0</v>
      </c>
      <c r="R113" s="26"/>
      <c r="S113" s="26"/>
      <c r="T113" s="26"/>
      <c r="U113" s="26">
        <f>U114+U117</f>
        <v>266880.5</v>
      </c>
      <c r="V113" s="26">
        <f t="shared" si="31"/>
        <v>107547.5</v>
      </c>
      <c r="W113" s="97">
        <f>+U113/G113</f>
        <v>0.7127685429508477</v>
      </c>
    </row>
    <row r="114" spans="1:22" ht="15">
      <c r="A114" s="27">
        <v>2</v>
      </c>
      <c r="B114" s="1">
        <v>3</v>
      </c>
      <c r="C114" s="1">
        <v>1</v>
      </c>
      <c r="D114" s="1">
        <v>1</v>
      </c>
      <c r="E114" s="53"/>
      <c r="F114" s="1" t="s">
        <v>120</v>
      </c>
      <c r="G114" s="26">
        <f aca="true" t="shared" si="36" ref="G114:Q114">G115</f>
        <v>359428</v>
      </c>
      <c r="H114" s="26">
        <f t="shared" si="36"/>
        <v>0</v>
      </c>
      <c r="I114" s="26">
        <f t="shared" si="36"/>
        <v>13116.1</v>
      </c>
      <c r="J114" s="26">
        <f t="shared" si="36"/>
        <v>89778</v>
      </c>
      <c r="K114" s="26">
        <f t="shared" si="36"/>
        <v>83072.4</v>
      </c>
      <c r="L114" s="26">
        <f t="shared" si="36"/>
        <v>64664</v>
      </c>
      <c r="M114" s="26">
        <f t="shared" si="36"/>
        <v>0</v>
      </c>
      <c r="N114" s="26">
        <f t="shared" si="36"/>
        <v>0</v>
      </c>
      <c r="O114" s="26">
        <f t="shared" si="36"/>
        <v>0</v>
      </c>
      <c r="P114" s="26">
        <f t="shared" si="36"/>
        <v>0</v>
      </c>
      <c r="Q114" s="26">
        <f t="shared" si="36"/>
        <v>0</v>
      </c>
      <c r="R114" s="26"/>
      <c r="S114" s="26"/>
      <c r="T114" s="26"/>
      <c r="U114" s="26">
        <f>U115</f>
        <v>250630.5</v>
      </c>
      <c r="V114" s="26">
        <f t="shared" si="31"/>
        <v>108797.5</v>
      </c>
    </row>
    <row r="115" spans="1:22" ht="15">
      <c r="A115" s="28">
        <v>2</v>
      </c>
      <c r="B115" s="29">
        <v>3</v>
      </c>
      <c r="C115" s="29">
        <v>1</v>
      </c>
      <c r="D115" s="29">
        <v>1</v>
      </c>
      <c r="E115" s="54" t="s">
        <v>19</v>
      </c>
      <c r="F115" s="29" t="s">
        <v>120</v>
      </c>
      <c r="G115" s="30">
        <v>359428</v>
      </c>
      <c r="H115" s="30"/>
      <c r="I115" s="30">
        <v>13116.1</v>
      </c>
      <c r="J115" s="30">
        <f>43050+46728</f>
        <v>89778</v>
      </c>
      <c r="K115" s="25">
        <f>14042.4+34515+34515</f>
        <v>83072.4</v>
      </c>
      <c r="L115" s="25">
        <v>64664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/>
      <c r="S115" s="25"/>
      <c r="T115" s="25"/>
      <c r="U115" s="30">
        <f>+H115+I115+J115+K115+L115+M115+N115+O115+P115+Q115+R115+S115</f>
        <v>250630.5</v>
      </c>
      <c r="V115" s="26">
        <f t="shared" si="31"/>
        <v>108797.5</v>
      </c>
    </row>
    <row r="116" spans="1:22" ht="15">
      <c r="A116" s="28"/>
      <c r="B116" s="29"/>
      <c r="C116" s="29"/>
      <c r="D116" s="29"/>
      <c r="E116" s="55"/>
      <c r="F116" s="29"/>
      <c r="G116" s="30"/>
      <c r="H116" s="30"/>
      <c r="I116" s="30"/>
      <c r="J116" s="30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30"/>
      <c r="V116" s="26">
        <f t="shared" si="31"/>
        <v>0</v>
      </c>
    </row>
    <row r="117" spans="1:22" ht="15">
      <c r="A117" s="27">
        <v>2</v>
      </c>
      <c r="B117" s="1">
        <v>3</v>
      </c>
      <c r="C117" s="1">
        <v>1</v>
      </c>
      <c r="D117" s="1">
        <v>3</v>
      </c>
      <c r="E117" s="53"/>
      <c r="F117" s="1" t="s">
        <v>121</v>
      </c>
      <c r="G117" s="26">
        <f aca="true" t="shared" si="37" ref="G117:Q117">+G118+G119</f>
        <v>15000</v>
      </c>
      <c r="H117" s="26">
        <f t="shared" si="37"/>
        <v>0</v>
      </c>
      <c r="I117" s="26">
        <f t="shared" si="37"/>
        <v>0</v>
      </c>
      <c r="J117" s="26">
        <f t="shared" si="37"/>
        <v>0</v>
      </c>
      <c r="K117" s="26">
        <f t="shared" si="37"/>
        <v>0</v>
      </c>
      <c r="L117" s="26">
        <f t="shared" si="37"/>
        <v>16250</v>
      </c>
      <c r="M117" s="26">
        <f t="shared" si="37"/>
        <v>0</v>
      </c>
      <c r="N117" s="26">
        <f t="shared" si="37"/>
        <v>0</v>
      </c>
      <c r="O117" s="26">
        <f t="shared" si="37"/>
        <v>0</v>
      </c>
      <c r="P117" s="26">
        <f t="shared" si="37"/>
        <v>0</v>
      </c>
      <c r="Q117" s="26">
        <f t="shared" si="37"/>
        <v>0</v>
      </c>
      <c r="R117" s="26"/>
      <c r="S117" s="26"/>
      <c r="T117" s="26"/>
      <c r="U117" s="26">
        <f>+U118+U119</f>
        <v>16250</v>
      </c>
      <c r="V117" s="26">
        <f t="shared" si="31"/>
        <v>-1250</v>
      </c>
    </row>
    <row r="118" spans="1:22" ht="21">
      <c r="A118" s="27">
        <v>2</v>
      </c>
      <c r="B118" s="1">
        <v>3</v>
      </c>
      <c r="C118" s="1">
        <v>1</v>
      </c>
      <c r="D118" s="1">
        <v>3</v>
      </c>
      <c r="E118" s="53" t="s">
        <v>71</v>
      </c>
      <c r="F118" s="1"/>
      <c r="G118" s="30">
        <v>0</v>
      </c>
      <c r="H118" s="26"/>
      <c r="I118" s="26"/>
      <c r="J118" s="26"/>
      <c r="K118" s="26"/>
      <c r="L118" s="26"/>
      <c r="M118" s="26"/>
      <c r="N118" s="30">
        <v>0</v>
      </c>
      <c r="O118" s="26"/>
      <c r="P118" s="26"/>
      <c r="Q118" s="26"/>
      <c r="R118" s="26"/>
      <c r="S118" s="26"/>
      <c r="T118" s="26"/>
      <c r="U118" s="30">
        <f>+H118+I118+J118+K118+L118+M118+N118+O118+P118+Q118+R118+S118</f>
        <v>0</v>
      </c>
      <c r="V118" s="26">
        <f t="shared" si="31"/>
        <v>0</v>
      </c>
    </row>
    <row r="119" spans="1:22" ht="15">
      <c r="A119" s="28">
        <v>2</v>
      </c>
      <c r="B119" s="29">
        <v>3</v>
      </c>
      <c r="C119" s="29">
        <v>1</v>
      </c>
      <c r="D119" s="29">
        <v>3</v>
      </c>
      <c r="E119" s="54" t="s">
        <v>25</v>
      </c>
      <c r="F119" s="29" t="s">
        <v>122</v>
      </c>
      <c r="G119" s="30">
        <v>15000</v>
      </c>
      <c r="H119" s="30"/>
      <c r="I119" s="30">
        <v>0</v>
      </c>
      <c r="J119" s="30"/>
      <c r="K119" s="25"/>
      <c r="L119" s="25">
        <v>16250</v>
      </c>
      <c r="M119" s="25"/>
      <c r="N119" s="25">
        <v>0</v>
      </c>
      <c r="O119" s="25"/>
      <c r="P119" s="25"/>
      <c r="Q119" s="25">
        <v>0</v>
      </c>
      <c r="R119" s="25"/>
      <c r="S119" s="25"/>
      <c r="T119" s="25"/>
      <c r="U119" s="30">
        <f>+H119+I119+J119+K119+L119+M119+N119+O119+P119+Q119+R119+S119</f>
        <v>16250</v>
      </c>
      <c r="V119" s="26">
        <f t="shared" si="31"/>
        <v>-1250</v>
      </c>
    </row>
    <row r="120" spans="1:22" ht="15">
      <c r="A120" s="28"/>
      <c r="B120" s="29"/>
      <c r="C120" s="29"/>
      <c r="D120" s="29"/>
      <c r="E120" s="55"/>
      <c r="F120" s="1"/>
      <c r="G120" s="26"/>
      <c r="H120" s="30"/>
      <c r="I120" s="30"/>
      <c r="J120" s="30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30"/>
      <c r="V120" s="26">
        <f t="shared" si="31"/>
        <v>0</v>
      </c>
    </row>
    <row r="121" spans="1:22" ht="15">
      <c r="A121" s="27">
        <v>2</v>
      </c>
      <c r="B121" s="1">
        <v>3</v>
      </c>
      <c r="C121" s="1">
        <v>2</v>
      </c>
      <c r="D121" s="29"/>
      <c r="E121" s="55"/>
      <c r="F121" s="1" t="s">
        <v>123</v>
      </c>
      <c r="G121" s="26">
        <f>+G122+G123</f>
        <v>5000</v>
      </c>
      <c r="H121" s="26">
        <f aca="true" t="shared" si="38" ref="H121:U121">+H122+H123</f>
        <v>0</v>
      </c>
      <c r="I121" s="26">
        <f t="shared" si="38"/>
        <v>0</v>
      </c>
      <c r="J121" s="26">
        <f t="shared" si="38"/>
        <v>0</v>
      </c>
      <c r="K121" s="26">
        <f t="shared" si="38"/>
        <v>0</v>
      </c>
      <c r="L121" s="26">
        <f t="shared" si="38"/>
        <v>0</v>
      </c>
      <c r="M121" s="26">
        <f t="shared" si="38"/>
        <v>0</v>
      </c>
      <c r="N121" s="26">
        <f t="shared" si="38"/>
        <v>0</v>
      </c>
      <c r="O121" s="26">
        <f t="shared" si="38"/>
        <v>0</v>
      </c>
      <c r="P121" s="26">
        <f t="shared" si="38"/>
        <v>0</v>
      </c>
      <c r="Q121" s="26">
        <f t="shared" si="38"/>
        <v>0</v>
      </c>
      <c r="R121" s="26"/>
      <c r="S121" s="26"/>
      <c r="T121" s="26"/>
      <c r="U121" s="26">
        <f t="shared" si="38"/>
        <v>0</v>
      </c>
      <c r="V121" s="26">
        <f t="shared" si="31"/>
        <v>5000</v>
      </c>
    </row>
    <row r="122" spans="1:22" ht="17.25" customHeight="1">
      <c r="A122" s="27">
        <v>2</v>
      </c>
      <c r="B122" s="1">
        <v>3</v>
      </c>
      <c r="C122" s="1">
        <v>2</v>
      </c>
      <c r="D122" s="29">
        <v>2</v>
      </c>
      <c r="E122" s="55" t="s">
        <v>124</v>
      </c>
      <c r="F122" s="29" t="s">
        <v>125</v>
      </c>
      <c r="G122" s="30">
        <v>0</v>
      </c>
      <c r="H122" s="26"/>
      <c r="I122" s="26"/>
      <c r="J122" s="26"/>
      <c r="K122" s="26"/>
      <c r="L122" s="26"/>
      <c r="M122" s="26"/>
      <c r="N122" s="26"/>
      <c r="O122" s="26"/>
      <c r="P122" s="30">
        <v>0</v>
      </c>
      <c r="Q122" s="26"/>
      <c r="R122" s="26"/>
      <c r="S122" s="30"/>
      <c r="T122" s="30"/>
      <c r="U122" s="30">
        <v>0</v>
      </c>
      <c r="V122" s="26">
        <f t="shared" si="31"/>
        <v>0</v>
      </c>
    </row>
    <row r="123" spans="1:22" ht="17.25" customHeight="1">
      <c r="A123" s="28">
        <v>2</v>
      </c>
      <c r="B123" s="29">
        <v>3</v>
      </c>
      <c r="C123" s="29">
        <v>2</v>
      </c>
      <c r="D123" s="29">
        <v>3</v>
      </c>
      <c r="E123" s="55" t="s">
        <v>124</v>
      </c>
      <c r="F123" s="29" t="s">
        <v>126</v>
      </c>
      <c r="G123" s="30">
        <v>5000</v>
      </c>
      <c r="H123" s="30"/>
      <c r="I123" s="30"/>
      <c r="J123" s="30"/>
      <c r="K123" s="25"/>
      <c r="L123" s="25"/>
      <c r="M123" s="25"/>
      <c r="N123" s="25">
        <v>0</v>
      </c>
      <c r="O123" s="25">
        <v>0</v>
      </c>
      <c r="P123" s="25">
        <v>0</v>
      </c>
      <c r="Q123" s="25"/>
      <c r="R123" s="25"/>
      <c r="S123" s="25"/>
      <c r="T123" s="25"/>
      <c r="U123" s="30">
        <f>+H123+I123+J123+K123+L123+M123+N123+O123+P123+Q123+R123+S123</f>
        <v>0</v>
      </c>
      <c r="V123" s="26">
        <f t="shared" si="31"/>
        <v>5000</v>
      </c>
    </row>
    <row r="124" spans="1:22" ht="15">
      <c r="A124" s="28"/>
      <c r="B124" s="29"/>
      <c r="C124" s="29"/>
      <c r="D124" s="29"/>
      <c r="E124" s="55"/>
      <c r="F124" s="1"/>
      <c r="G124" s="26"/>
      <c r="H124" s="30"/>
      <c r="I124" s="30"/>
      <c r="J124" s="30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30">
        <f>+H124+I124+J124+K124+L124+M124+N124+O124+P124+Q124</f>
        <v>0</v>
      </c>
      <c r="V124" s="26">
        <f t="shared" si="31"/>
        <v>0</v>
      </c>
    </row>
    <row r="125" spans="1:23" ht="15">
      <c r="A125" s="27">
        <v>2</v>
      </c>
      <c r="B125" s="1">
        <v>3</v>
      </c>
      <c r="C125" s="1">
        <v>3</v>
      </c>
      <c r="D125" s="29"/>
      <c r="E125" s="55"/>
      <c r="F125" s="1" t="s">
        <v>127</v>
      </c>
      <c r="G125" s="26">
        <f>G126+G127+G128+G129</f>
        <v>155000</v>
      </c>
      <c r="H125" s="26">
        <f aca="true" t="shared" si="39" ref="H125:Q125">H126+H127+H128+H129</f>
        <v>0</v>
      </c>
      <c r="I125" s="26">
        <f t="shared" si="39"/>
        <v>18974.4</v>
      </c>
      <c r="J125" s="26">
        <f t="shared" si="39"/>
        <v>21009.09</v>
      </c>
      <c r="K125" s="26">
        <f t="shared" si="39"/>
        <v>33755.03</v>
      </c>
      <c r="L125" s="26">
        <f t="shared" si="39"/>
        <v>0</v>
      </c>
      <c r="M125" s="26">
        <f t="shared" si="39"/>
        <v>0</v>
      </c>
      <c r="N125" s="26">
        <f t="shared" si="39"/>
        <v>0</v>
      </c>
      <c r="O125" s="26">
        <f t="shared" si="39"/>
        <v>0</v>
      </c>
      <c r="P125" s="26">
        <f t="shared" si="39"/>
        <v>0</v>
      </c>
      <c r="Q125" s="26">
        <f t="shared" si="39"/>
        <v>0</v>
      </c>
      <c r="R125" s="26"/>
      <c r="S125" s="26"/>
      <c r="T125" s="26"/>
      <c r="U125" s="26">
        <f>U126+U127+U128+U129</f>
        <v>73738.52</v>
      </c>
      <c r="V125" s="26">
        <f t="shared" si="31"/>
        <v>81261.48</v>
      </c>
      <c r="W125" s="96">
        <f>+V125/G125</f>
        <v>0.5242676129032258</v>
      </c>
    </row>
    <row r="126" spans="1:22" ht="14.25" customHeight="1">
      <c r="A126" s="27">
        <v>2</v>
      </c>
      <c r="B126" s="1">
        <v>3</v>
      </c>
      <c r="C126" s="1">
        <v>3</v>
      </c>
      <c r="D126" s="1">
        <v>1</v>
      </c>
      <c r="E126" s="53" t="s">
        <v>124</v>
      </c>
      <c r="F126" s="1" t="s">
        <v>128</v>
      </c>
      <c r="G126" s="30">
        <v>50000</v>
      </c>
      <c r="H126" s="26">
        <v>0</v>
      </c>
      <c r="I126" s="30">
        <v>0</v>
      </c>
      <c r="J126" s="30">
        <v>7136.64</v>
      </c>
      <c r="K126" s="25">
        <v>3973.06</v>
      </c>
      <c r="L126" s="25"/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/>
      <c r="S126" s="25"/>
      <c r="T126" s="25"/>
      <c r="U126" s="30">
        <f>+H126+I126+J126+K126+L126+M126+N126+O126+P126+Q126+R126+S126</f>
        <v>11109.7</v>
      </c>
      <c r="V126" s="26">
        <f aca="true" t="shared" si="40" ref="V126:V157">G126-U126</f>
        <v>38890.3</v>
      </c>
    </row>
    <row r="127" spans="1:22" ht="17.25" customHeight="1">
      <c r="A127" s="27">
        <v>2</v>
      </c>
      <c r="B127" s="1">
        <v>3</v>
      </c>
      <c r="C127" s="1">
        <v>3</v>
      </c>
      <c r="D127" s="1">
        <v>2</v>
      </c>
      <c r="E127" s="53" t="s">
        <v>71</v>
      </c>
      <c r="F127" s="1" t="s">
        <v>129</v>
      </c>
      <c r="G127" s="30">
        <v>75000</v>
      </c>
      <c r="H127" s="26">
        <v>0</v>
      </c>
      <c r="I127" s="30">
        <v>18974.4</v>
      </c>
      <c r="J127" s="30">
        <v>4130</v>
      </c>
      <c r="K127" s="25">
        <v>18974.4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/>
      <c r="S127" s="25"/>
      <c r="T127" s="25"/>
      <c r="U127" s="30">
        <f>+H127+I127+J127+K127+L127+M127+N127+O127+P127+Q127+R127+S127</f>
        <v>42078.8</v>
      </c>
      <c r="V127" s="26">
        <f t="shared" si="40"/>
        <v>32921.2</v>
      </c>
    </row>
    <row r="128" spans="1:22" ht="17.25" customHeight="1">
      <c r="A128" s="27">
        <v>2</v>
      </c>
      <c r="B128" s="1">
        <v>3</v>
      </c>
      <c r="C128" s="1">
        <v>3</v>
      </c>
      <c r="D128" s="1">
        <v>3</v>
      </c>
      <c r="E128" s="53" t="s">
        <v>71</v>
      </c>
      <c r="F128" s="1" t="s">
        <v>130</v>
      </c>
      <c r="G128" s="30">
        <v>15000</v>
      </c>
      <c r="H128" s="26"/>
      <c r="I128" s="30">
        <v>0</v>
      </c>
      <c r="J128" s="30">
        <v>6042.45</v>
      </c>
      <c r="K128" s="25">
        <v>10807.57</v>
      </c>
      <c r="L128" s="25">
        <v>0</v>
      </c>
      <c r="M128" s="25">
        <v>0</v>
      </c>
      <c r="N128" s="25">
        <v>0</v>
      </c>
      <c r="O128" s="25">
        <v>0</v>
      </c>
      <c r="P128" s="25"/>
      <c r="Q128" s="25">
        <v>0</v>
      </c>
      <c r="R128" s="25"/>
      <c r="S128" s="25"/>
      <c r="T128" s="25"/>
      <c r="U128" s="30">
        <f>+H128+I128+J128+K128+L128+M128+N128+O128+P128+Q128+R128+S128</f>
        <v>16850.02</v>
      </c>
      <c r="V128" s="26">
        <f t="shared" si="40"/>
        <v>-1850.0200000000004</v>
      </c>
    </row>
    <row r="129" spans="1:22" ht="15">
      <c r="A129" s="27">
        <v>2</v>
      </c>
      <c r="B129" s="1">
        <v>3</v>
      </c>
      <c r="C129" s="1">
        <v>3</v>
      </c>
      <c r="D129" s="1">
        <v>4</v>
      </c>
      <c r="E129" s="53"/>
      <c r="F129" s="1" t="s">
        <v>131</v>
      </c>
      <c r="G129" s="30">
        <v>15000</v>
      </c>
      <c r="H129" s="26"/>
      <c r="I129" s="26"/>
      <c r="J129" s="30">
        <v>3700</v>
      </c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0">
        <f>+H129+I129+J129+K129+L129+M129+N129+O129+P129+Q129+R129+S129</f>
        <v>3700</v>
      </c>
      <c r="V129" s="26">
        <f t="shared" si="40"/>
        <v>11300</v>
      </c>
    </row>
    <row r="130" spans="1:22" ht="15">
      <c r="A130" s="28"/>
      <c r="B130" s="29"/>
      <c r="C130" s="29"/>
      <c r="D130" s="29"/>
      <c r="E130" s="55"/>
      <c r="F130" s="1"/>
      <c r="G130" s="26"/>
      <c r="H130" s="30"/>
      <c r="I130" s="30"/>
      <c r="J130" s="30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30">
        <f>+H130+I130+J130+K130+L130+M130+N130+O130+P130+Q130+R130+S130</f>
        <v>0</v>
      </c>
      <c r="V130" s="26">
        <f t="shared" si="40"/>
        <v>0</v>
      </c>
    </row>
    <row r="131" spans="1:22" ht="15">
      <c r="A131" s="27">
        <v>2</v>
      </c>
      <c r="B131" s="1">
        <v>3</v>
      </c>
      <c r="C131" s="1">
        <v>4</v>
      </c>
      <c r="D131" s="29"/>
      <c r="E131" s="55"/>
      <c r="F131" s="1" t="s">
        <v>132</v>
      </c>
      <c r="G131" s="26">
        <f>+G132</f>
        <v>18000</v>
      </c>
      <c r="H131" s="26">
        <f aca="true" t="shared" si="41" ref="H131:U131">+H132</f>
        <v>0</v>
      </c>
      <c r="I131" s="26">
        <f t="shared" si="41"/>
        <v>0</v>
      </c>
      <c r="J131" s="26">
        <f t="shared" si="41"/>
        <v>0</v>
      </c>
      <c r="K131" s="26">
        <f t="shared" si="41"/>
        <v>0</v>
      </c>
      <c r="L131" s="26">
        <f t="shared" si="41"/>
        <v>0</v>
      </c>
      <c r="M131" s="26">
        <f t="shared" si="41"/>
        <v>0</v>
      </c>
      <c r="N131" s="26">
        <f t="shared" si="41"/>
        <v>0</v>
      </c>
      <c r="O131" s="26">
        <f t="shared" si="41"/>
        <v>0</v>
      </c>
      <c r="P131" s="26">
        <f t="shared" si="41"/>
        <v>0</v>
      </c>
      <c r="Q131" s="26">
        <f t="shared" si="41"/>
        <v>0</v>
      </c>
      <c r="R131" s="26"/>
      <c r="S131" s="26"/>
      <c r="T131" s="26"/>
      <c r="U131" s="26">
        <f t="shared" si="41"/>
        <v>0</v>
      </c>
      <c r="V131" s="26">
        <f t="shared" si="40"/>
        <v>18000</v>
      </c>
    </row>
    <row r="132" spans="1:22" ht="15">
      <c r="A132" s="27">
        <v>2</v>
      </c>
      <c r="B132" s="1">
        <v>3</v>
      </c>
      <c r="C132" s="1">
        <v>4</v>
      </c>
      <c r="D132" s="1">
        <v>1</v>
      </c>
      <c r="E132" s="53"/>
      <c r="F132" s="29" t="s">
        <v>133</v>
      </c>
      <c r="G132" s="30">
        <v>18000</v>
      </c>
      <c r="H132" s="26"/>
      <c r="I132" s="26"/>
      <c r="J132" s="26"/>
      <c r="K132" s="25"/>
      <c r="L132" s="25"/>
      <c r="M132" s="25"/>
      <c r="N132" s="25"/>
      <c r="O132" s="25">
        <v>0</v>
      </c>
      <c r="P132" s="25">
        <v>0</v>
      </c>
      <c r="Q132" s="25"/>
      <c r="R132" s="25"/>
      <c r="S132" s="25"/>
      <c r="T132" s="25"/>
      <c r="U132" s="30">
        <f>+H132+I132+J132+K132+L132+M132+N132+O132+P132+Q132+R132+S132</f>
        <v>0</v>
      </c>
      <c r="V132" s="26">
        <f t="shared" si="40"/>
        <v>18000</v>
      </c>
    </row>
    <row r="133" spans="1:22" ht="15">
      <c r="A133" s="28"/>
      <c r="B133" s="29"/>
      <c r="C133" s="29"/>
      <c r="D133" s="29"/>
      <c r="E133" s="55"/>
      <c r="F133" s="1"/>
      <c r="G133" s="26"/>
      <c r="H133" s="30"/>
      <c r="I133" s="30"/>
      <c r="J133" s="30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30">
        <f>+H133+I133+J133+K133+L133+M133+N133+O133+P133+Q133</f>
        <v>0</v>
      </c>
      <c r="V133" s="26">
        <f t="shared" si="40"/>
        <v>0</v>
      </c>
    </row>
    <row r="134" spans="1:22" ht="22.5">
      <c r="A134" s="27">
        <v>2</v>
      </c>
      <c r="B134" s="1">
        <v>3</v>
      </c>
      <c r="C134" s="1">
        <v>5</v>
      </c>
      <c r="D134" s="29"/>
      <c r="E134" s="55"/>
      <c r="F134" s="1" t="s">
        <v>134</v>
      </c>
      <c r="G134" s="26">
        <f>G135+G136+G137</f>
        <v>150000</v>
      </c>
      <c r="H134" s="26">
        <f aca="true" t="shared" si="42" ref="H134:U134">H135+H136+H137</f>
        <v>0</v>
      </c>
      <c r="I134" s="26">
        <f t="shared" si="42"/>
        <v>5392.6</v>
      </c>
      <c r="J134" s="26">
        <f t="shared" si="42"/>
        <v>0</v>
      </c>
      <c r="K134" s="26">
        <f t="shared" si="42"/>
        <v>58351</v>
      </c>
      <c r="L134" s="26">
        <f t="shared" si="42"/>
        <v>0</v>
      </c>
      <c r="M134" s="26">
        <f t="shared" si="42"/>
        <v>0</v>
      </c>
      <c r="N134" s="26">
        <f t="shared" si="42"/>
        <v>0</v>
      </c>
      <c r="O134" s="26">
        <f t="shared" si="42"/>
        <v>0</v>
      </c>
      <c r="P134" s="26">
        <f t="shared" si="42"/>
        <v>0</v>
      </c>
      <c r="Q134" s="26">
        <f t="shared" si="42"/>
        <v>0</v>
      </c>
      <c r="R134" s="26"/>
      <c r="S134" s="26"/>
      <c r="T134" s="26"/>
      <c r="U134" s="26">
        <f t="shared" si="42"/>
        <v>63743.600000000006</v>
      </c>
      <c r="V134" s="26">
        <f t="shared" si="40"/>
        <v>86256.4</v>
      </c>
    </row>
    <row r="135" spans="1:22" ht="15">
      <c r="A135" s="27">
        <v>2</v>
      </c>
      <c r="B135" s="1">
        <v>3</v>
      </c>
      <c r="C135" s="1">
        <v>5</v>
      </c>
      <c r="D135" s="1">
        <v>3</v>
      </c>
      <c r="E135" s="53"/>
      <c r="F135" s="1" t="s">
        <v>135</v>
      </c>
      <c r="G135" s="30">
        <v>125000</v>
      </c>
      <c r="H135" s="26"/>
      <c r="I135" s="26"/>
      <c r="J135" s="26"/>
      <c r="K135" s="25">
        <v>56262.4</v>
      </c>
      <c r="L135" s="25"/>
      <c r="M135" s="25">
        <v>0</v>
      </c>
      <c r="N135" s="25"/>
      <c r="O135" s="25"/>
      <c r="P135" s="25">
        <v>0</v>
      </c>
      <c r="Q135" s="25"/>
      <c r="R135" s="25"/>
      <c r="S135" s="25"/>
      <c r="T135" s="25"/>
      <c r="U135" s="30">
        <f>+H135+I135+J135+K135+L135+M135+N135+O135+P135+Q135+R135+S135</f>
        <v>56262.4</v>
      </c>
      <c r="V135" s="26">
        <f t="shared" si="40"/>
        <v>68737.6</v>
      </c>
    </row>
    <row r="136" spans="1:22" ht="15">
      <c r="A136" s="27">
        <v>2</v>
      </c>
      <c r="B136" s="1">
        <v>3</v>
      </c>
      <c r="C136" s="1">
        <v>5</v>
      </c>
      <c r="D136" s="1">
        <v>4</v>
      </c>
      <c r="E136" s="53"/>
      <c r="F136" s="1" t="s">
        <v>136</v>
      </c>
      <c r="G136" s="30">
        <v>10000</v>
      </c>
      <c r="H136" s="26"/>
      <c r="I136" s="26"/>
      <c r="J136" s="26"/>
      <c r="K136" s="25"/>
      <c r="L136" s="25"/>
      <c r="M136" s="25"/>
      <c r="N136" s="25"/>
      <c r="O136" s="25"/>
      <c r="P136" s="25">
        <v>0</v>
      </c>
      <c r="Q136" s="25"/>
      <c r="R136" s="25"/>
      <c r="S136" s="25"/>
      <c r="T136" s="25"/>
      <c r="U136" s="30">
        <f>+H136+I136+J136+K136+L136+M136+N136+O136+P136+Q136+R136+S136</f>
        <v>0</v>
      </c>
      <c r="V136" s="26">
        <f t="shared" si="40"/>
        <v>10000</v>
      </c>
    </row>
    <row r="137" spans="1:22" ht="15">
      <c r="A137" s="27">
        <v>2</v>
      </c>
      <c r="B137" s="1">
        <v>3</v>
      </c>
      <c r="C137" s="1">
        <v>5</v>
      </c>
      <c r="D137" s="1">
        <v>5</v>
      </c>
      <c r="E137" s="53"/>
      <c r="F137" s="1" t="s">
        <v>137</v>
      </c>
      <c r="G137" s="30">
        <v>15000</v>
      </c>
      <c r="H137" s="26"/>
      <c r="I137" s="26">
        <f>3304+2088.6</f>
        <v>5392.6</v>
      </c>
      <c r="J137" s="30">
        <v>0</v>
      </c>
      <c r="K137" s="25">
        <v>2088.6</v>
      </c>
      <c r="L137" s="25">
        <v>0</v>
      </c>
      <c r="M137" s="25">
        <v>0</v>
      </c>
      <c r="N137" s="25"/>
      <c r="O137" s="25">
        <v>0</v>
      </c>
      <c r="P137" s="25">
        <v>0</v>
      </c>
      <c r="Q137" s="25"/>
      <c r="R137" s="25"/>
      <c r="S137" s="25"/>
      <c r="T137" s="25"/>
      <c r="U137" s="30">
        <f>+H137+I137+J137+K137+L137+M137+N137+O137+P137+Q137+R137+S137</f>
        <v>7481.200000000001</v>
      </c>
      <c r="V137" s="26">
        <f t="shared" si="40"/>
        <v>7518.799999999999</v>
      </c>
    </row>
    <row r="138" spans="1:22" ht="15">
      <c r="A138" s="28"/>
      <c r="B138" s="29"/>
      <c r="C138" s="29"/>
      <c r="D138" s="29"/>
      <c r="E138" s="55"/>
      <c r="F138" s="29"/>
      <c r="G138" s="30"/>
      <c r="H138" s="30"/>
      <c r="I138" s="30"/>
      <c r="J138" s="30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30">
        <f>+H138+I138+J138+K138+L138+M138+N138+O138+P138+Q138+R138+S138</f>
        <v>0</v>
      </c>
      <c r="V138" s="26">
        <f t="shared" si="40"/>
        <v>0</v>
      </c>
    </row>
    <row r="139" spans="1:22" ht="22.5">
      <c r="A139" s="27">
        <v>2</v>
      </c>
      <c r="B139" s="1">
        <v>3</v>
      </c>
      <c r="C139" s="1">
        <v>6</v>
      </c>
      <c r="D139" s="29"/>
      <c r="E139" s="55"/>
      <c r="F139" s="1" t="s">
        <v>138</v>
      </c>
      <c r="G139" s="26">
        <f>+G140+G141</f>
        <v>3000</v>
      </c>
      <c r="H139" s="26">
        <f aca="true" t="shared" si="43" ref="H139:U139">+H140+H141</f>
        <v>0</v>
      </c>
      <c r="I139" s="26">
        <f t="shared" si="43"/>
        <v>0</v>
      </c>
      <c r="J139" s="26">
        <f t="shared" si="43"/>
        <v>0</v>
      </c>
      <c r="K139" s="26">
        <f t="shared" si="43"/>
        <v>0</v>
      </c>
      <c r="L139" s="26">
        <f t="shared" si="43"/>
        <v>0</v>
      </c>
      <c r="M139" s="26">
        <f t="shared" si="43"/>
        <v>0</v>
      </c>
      <c r="N139" s="26">
        <f t="shared" si="43"/>
        <v>0</v>
      </c>
      <c r="O139" s="26">
        <f t="shared" si="43"/>
        <v>0</v>
      </c>
      <c r="P139" s="26">
        <f t="shared" si="43"/>
        <v>0</v>
      </c>
      <c r="Q139" s="26">
        <f t="shared" si="43"/>
        <v>0</v>
      </c>
      <c r="R139" s="26"/>
      <c r="S139" s="26"/>
      <c r="T139" s="26"/>
      <c r="U139" s="26">
        <f t="shared" si="43"/>
        <v>0</v>
      </c>
      <c r="V139" s="26">
        <f t="shared" si="40"/>
        <v>3000</v>
      </c>
    </row>
    <row r="140" spans="1:22" ht="15">
      <c r="A140" s="27">
        <v>2</v>
      </c>
      <c r="B140" s="1">
        <v>3</v>
      </c>
      <c r="C140" s="1">
        <v>6</v>
      </c>
      <c r="D140" s="29">
        <v>1</v>
      </c>
      <c r="E140" s="55"/>
      <c r="F140" s="1"/>
      <c r="G140" s="30">
        <v>0</v>
      </c>
      <c r="H140" s="26"/>
      <c r="I140" s="26"/>
      <c r="J140" s="26"/>
      <c r="K140" s="26"/>
      <c r="L140" s="26"/>
      <c r="M140" s="26"/>
      <c r="N140" s="26"/>
      <c r="O140" s="30">
        <v>0</v>
      </c>
      <c r="P140" s="26">
        <v>0</v>
      </c>
      <c r="Q140" s="26"/>
      <c r="R140" s="26"/>
      <c r="S140" s="26"/>
      <c r="T140" s="26"/>
      <c r="U140" s="30">
        <f>+O140+R140+S140</f>
        <v>0</v>
      </c>
      <c r="V140" s="26">
        <f t="shared" si="40"/>
        <v>0</v>
      </c>
    </row>
    <row r="141" spans="1:22" ht="15">
      <c r="A141" s="27">
        <v>2</v>
      </c>
      <c r="B141" s="1">
        <v>3</v>
      </c>
      <c r="C141" s="1">
        <v>6</v>
      </c>
      <c r="D141" s="1">
        <v>2</v>
      </c>
      <c r="E141" s="53"/>
      <c r="F141" s="1" t="s">
        <v>139</v>
      </c>
      <c r="G141" s="30">
        <v>3000</v>
      </c>
      <c r="H141" s="26"/>
      <c r="I141" s="26"/>
      <c r="J141" s="26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30">
        <f>+O141+R141+S141</f>
        <v>0</v>
      </c>
      <c r="V141" s="26">
        <f t="shared" si="40"/>
        <v>3000</v>
      </c>
    </row>
    <row r="142" spans="1:22" ht="15">
      <c r="A142" s="28"/>
      <c r="B142" s="29"/>
      <c r="C142" s="29"/>
      <c r="D142" s="29"/>
      <c r="E142" s="55"/>
      <c r="F142" s="1"/>
      <c r="G142" s="26"/>
      <c r="H142" s="30"/>
      <c r="I142" s="30"/>
      <c r="J142" s="30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30"/>
      <c r="V142" s="26">
        <f t="shared" si="40"/>
        <v>0</v>
      </c>
    </row>
    <row r="143" spans="1:23" ht="22.5">
      <c r="A143" s="27">
        <v>2</v>
      </c>
      <c r="B143" s="1">
        <v>3</v>
      </c>
      <c r="C143" s="1">
        <v>7</v>
      </c>
      <c r="D143" s="1"/>
      <c r="E143" s="55"/>
      <c r="F143" s="1" t="s">
        <v>140</v>
      </c>
      <c r="G143" s="26">
        <f>+G144+G149</f>
        <v>2198000</v>
      </c>
      <c r="H143" s="26">
        <f>+H144</f>
        <v>0</v>
      </c>
      <c r="I143" s="26">
        <f>+I144</f>
        <v>309299.55</v>
      </c>
      <c r="J143" s="26">
        <f aca="true" t="shared" si="44" ref="J143:P143">+J144</f>
        <v>178300</v>
      </c>
      <c r="K143" s="26">
        <f t="shared" si="44"/>
        <v>178300</v>
      </c>
      <c r="L143" s="26">
        <f t="shared" si="44"/>
        <v>178300</v>
      </c>
      <c r="M143" s="26">
        <f t="shared" si="44"/>
        <v>0</v>
      </c>
      <c r="N143" s="26">
        <f t="shared" si="44"/>
        <v>0</v>
      </c>
      <c r="O143" s="26">
        <f t="shared" si="44"/>
        <v>0</v>
      </c>
      <c r="P143" s="26">
        <f t="shared" si="44"/>
        <v>0</v>
      </c>
      <c r="Q143" s="26">
        <f>+Q144</f>
        <v>0</v>
      </c>
      <c r="R143" s="26">
        <f>+R144</f>
        <v>0</v>
      </c>
      <c r="S143" s="26">
        <f>+S144</f>
        <v>0</v>
      </c>
      <c r="T143" s="26"/>
      <c r="U143" s="26">
        <f>+U144</f>
        <v>844199.55</v>
      </c>
      <c r="V143" s="26">
        <f t="shared" si="40"/>
        <v>1353800.45</v>
      </c>
      <c r="W143" s="98">
        <f>+U143/G143</f>
        <v>0.384076228389445</v>
      </c>
    </row>
    <row r="144" spans="1:22" ht="15">
      <c r="A144" s="27">
        <v>2</v>
      </c>
      <c r="B144" s="1">
        <v>3</v>
      </c>
      <c r="C144" s="1">
        <v>7</v>
      </c>
      <c r="D144" s="1">
        <v>1</v>
      </c>
      <c r="E144" s="53"/>
      <c r="F144" s="1" t="s">
        <v>141</v>
      </c>
      <c r="G144" s="26">
        <f>G145+G146+G147+G148</f>
        <v>2158000</v>
      </c>
      <c r="H144" s="26">
        <f aca="true" t="shared" si="45" ref="H144:U144">H145+H146+H147+H148</f>
        <v>0</v>
      </c>
      <c r="I144" s="26">
        <f t="shared" si="45"/>
        <v>309299.55</v>
      </c>
      <c r="J144" s="26">
        <f t="shared" si="45"/>
        <v>178300</v>
      </c>
      <c r="K144" s="26">
        <f t="shared" si="45"/>
        <v>178300</v>
      </c>
      <c r="L144" s="26">
        <f t="shared" si="45"/>
        <v>178300</v>
      </c>
      <c r="M144" s="26">
        <f t="shared" si="45"/>
        <v>0</v>
      </c>
      <c r="N144" s="26">
        <f t="shared" si="45"/>
        <v>0</v>
      </c>
      <c r="O144" s="26">
        <f t="shared" si="45"/>
        <v>0</v>
      </c>
      <c r="P144" s="26">
        <f t="shared" si="45"/>
        <v>0</v>
      </c>
      <c r="Q144" s="26">
        <f t="shared" si="45"/>
        <v>0</v>
      </c>
      <c r="R144" s="26">
        <f t="shared" si="45"/>
        <v>0</v>
      </c>
      <c r="S144" s="26">
        <f t="shared" si="45"/>
        <v>0</v>
      </c>
      <c r="T144" s="26"/>
      <c r="U144" s="26">
        <f t="shared" si="45"/>
        <v>844199.55</v>
      </c>
      <c r="V144" s="26">
        <f t="shared" si="40"/>
        <v>1313800.45</v>
      </c>
    </row>
    <row r="145" spans="1:22" ht="15">
      <c r="A145" s="28">
        <v>2</v>
      </c>
      <c r="B145" s="29">
        <v>3</v>
      </c>
      <c r="C145" s="29">
        <v>7</v>
      </c>
      <c r="D145" s="29">
        <v>1</v>
      </c>
      <c r="E145" s="54" t="s">
        <v>19</v>
      </c>
      <c r="F145" s="29" t="s">
        <v>142</v>
      </c>
      <c r="G145" s="30">
        <v>570000</v>
      </c>
      <c r="H145" s="30">
        <v>0</v>
      </c>
      <c r="I145" s="30">
        <f>23000+47500</f>
        <v>70500</v>
      </c>
      <c r="J145" s="30">
        <v>47500</v>
      </c>
      <c r="K145" s="25">
        <v>47500</v>
      </c>
      <c r="L145" s="25">
        <v>47500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/>
      <c r="S145" s="25">
        <v>0</v>
      </c>
      <c r="T145" s="25"/>
      <c r="U145" s="30">
        <f>+H145+I145+J145+K145+L145+M145+N145+O145+P145+Q145+R145+S145</f>
        <v>213000</v>
      </c>
      <c r="V145" s="26">
        <f t="shared" si="40"/>
        <v>357000</v>
      </c>
    </row>
    <row r="146" spans="1:22" ht="15">
      <c r="A146" s="28">
        <v>2</v>
      </c>
      <c r="B146" s="29">
        <v>3</v>
      </c>
      <c r="C146" s="29">
        <v>7</v>
      </c>
      <c r="D146" s="29">
        <v>1</v>
      </c>
      <c r="E146" s="54" t="s">
        <v>23</v>
      </c>
      <c r="F146" s="29" t="s">
        <v>143</v>
      </c>
      <c r="G146" s="30">
        <v>1570000</v>
      </c>
      <c r="H146" s="30">
        <v>0</v>
      </c>
      <c r="I146" s="30">
        <f>108000+130799.55</f>
        <v>238799.55</v>
      </c>
      <c r="J146" s="30">
        <v>130800</v>
      </c>
      <c r="K146" s="25">
        <v>130800</v>
      </c>
      <c r="L146" s="25">
        <v>130800</v>
      </c>
      <c r="M146" s="25">
        <v>0</v>
      </c>
      <c r="N146" s="25">
        <v>0</v>
      </c>
      <c r="O146" s="25">
        <v>0</v>
      </c>
      <c r="P146" s="25">
        <v>0</v>
      </c>
      <c r="Q146" s="25">
        <v>0</v>
      </c>
      <c r="R146" s="25"/>
      <c r="S146" s="25">
        <v>0</v>
      </c>
      <c r="T146" s="25"/>
      <c r="U146" s="30">
        <f>+H146+I146+J146+K146+L146+M146+N146+O146+P146+Q146+R146+S146</f>
        <v>631199.55</v>
      </c>
      <c r="V146" s="26">
        <f t="shared" si="40"/>
        <v>938800.45</v>
      </c>
    </row>
    <row r="147" spans="1:22" ht="15">
      <c r="A147" s="28">
        <v>2</v>
      </c>
      <c r="B147" s="29">
        <v>3</v>
      </c>
      <c r="C147" s="29">
        <v>7</v>
      </c>
      <c r="D147" s="29">
        <v>1</v>
      </c>
      <c r="E147" s="54" t="s">
        <v>27</v>
      </c>
      <c r="F147" s="29" t="s">
        <v>144</v>
      </c>
      <c r="G147" s="30">
        <v>15000</v>
      </c>
      <c r="H147" s="30"/>
      <c r="I147" s="30"/>
      <c r="J147" s="30">
        <v>0</v>
      </c>
      <c r="K147" s="25"/>
      <c r="L147" s="25"/>
      <c r="M147" s="25"/>
      <c r="N147" s="25"/>
      <c r="O147" s="25">
        <v>0</v>
      </c>
      <c r="P147" s="25">
        <v>0</v>
      </c>
      <c r="Q147" s="25"/>
      <c r="R147" s="25"/>
      <c r="S147" s="25"/>
      <c r="T147" s="25"/>
      <c r="U147" s="30">
        <f>+H147+I147+J147+K147+L147+M147+N147+O147+P147+Q147+R147+S147</f>
        <v>0</v>
      </c>
      <c r="V147" s="26">
        <f t="shared" si="40"/>
        <v>15000</v>
      </c>
    </row>
    <row r="148" spans="1:22" ht="15">
      <c r="A148" s="28">
        <v>2</v>
      </c>
      <c r="B148" s="29">
        <v>3</v>
      </c>
      <c r="C148" s="29">
        <v>7</v>
      </c>
      <c r="D148" s="29">
        <v>1</v>
      </c>
      <c r="E148" s="54" t="s">
        <v>42</v>
      </c>
      <c r="F148" s="29" t="s">
        <v>145</v>
      </c>
      <c r="G148" s="30">
        <v>3000</v>
      </c>
      <c r="H148" s="30"/>
      <c r="I148" s="30"/>
      <c r="J148" s="30"/>
      <c r="K148" s="25"/>
      <c r="L148" s="25"/>
      <c r="M148" s="25"/>
      <c r="N148" s="25"/>
      <c r="O148" s="25">
        <v>0</v>
      </c>
      <c r="P148" s="25"/>
      <c r="Q148" s="25"/>
      <c r="R148" s="25"/>
      <c r="S148" s="25"/>
      <c r="T148" s="25"/>
      <c r="U148" s="30">
        <f>+H148+I148+J148+K148+L148+M148+N148+O148+P148+Q148+R148+S148</f>
        <v>0</v>
      </c>
      <c r="V148" s="26">
        <f t="shared" si="40"/>
        <v>3000</v>
      </c>
    </row>
    <row r="149" spans="1:22" ht="22.5">
      <c r="A149" s="27">
        <v>2</v>
      </c>
      <c r="B149" s="1">
        <v>3</v>
      </c>
      <c r="C149" s="1">
        <v>7</v>
      </c>
      <c r="D149" s="1">
        <v>2</v>
      </c>
      <c r="E149" s="56"/>
      <c r="F149" s="1" t="s">
        <v>94</v>
      </c>
      <c r="G149" s="26">
        <f>+G150+G151</f>
        <v>40000</v>
      </c>
      <c r="H149" s="26">
        <f aca="true" t="shared" si="46" ref="H149:O149">+H150+H151</f>
        <v>0</v>
      </c>
      <c r="I149" s="26">
        <f t="shared" si="46"/>
        <v>0</v>
      </c>
      <c r="J149" s="26">
        <f t="shared" si="46"/>
        <v>0</v>
      </c>
      <c r="K149" s="26">
        <f t="shared" si="46"/>
        <v>3186</v>
      </c>
      <c r="L149" s="26">
        <f t="shared" si="46"/>
        <v>0</v>
      </c>
      <c r="M149" s="26">
        <f t="shared" si="46"/>
        <v>0</v>
      </c>
      <c r="N149" s="26">
        <f t="shared" si="46"/>
        <v>0</v>
      </c>
      <c r="O149" s="26">
        <f t="shared" si="46"/>
        <v>0</v>
      </c>
      <c r="P149" s="26">
        <f>+P150+P151</f>
        <v>0</v>
      </c>
      <c r="Q149" s="26">
        <f>+Q150+Q151</f>
        <v>0</v>
      </c>
      <c r="R149" s="26"/>
      <c r="S149" s="26"/>
      <c r="T149" s="26"/>
      <c r="U149" s="26">
        <f>+U150+U151</f>
        <v>3186</v>
      </c>
      <c r="V149" s="26">
        <f t="shared" si="40"/>
        <v>36814</v>
      </c>
    </row>
    <row r="150" spans="1:22" ht="21.75" customHeight="1">
      <c r="A150" s="28">
        <v>2</v>
      </c>
      <c r="B150" s="29">
        <v>3</v>
      </c>
      <c r="C150" s="29">
        <v>7</v>
      </c>
      <c r="D150" s="29">
        <v>2</v>
      </c>
      <c r="E150" s="54" t="s">
        <v>29</v>
      </c>
      <c r="F150" s="29" t="s">
        <v>146</v>
      </c>
      <c r="G150" s="30">
        <v>0</v>
      </c>
      <c r="H150" s="30"/>
      <c r="I150" s="30"/>
      <c r="J150" s="30">
        <v>0</v>
      </c>
      <c r="K150" s="25"/>
      <c r="L150" s="25"/>
      <c r="M150" s="25">
        <v>0</v>
      </c>
      <c r="N150" s="25"/>
      <c r="O150" s="25"/>
      <c r="P150" s="25"/>
      <c r="Q150" s="25"/>
      <c r="R150" s="25"/>
      <c r="S150" s="25"/>
      <c r="T150" s="25"/>
      <c r="U150" s="30">
        <f>+H150+I150+J150+K150+L150+M150+N150+O150+P150+Q150+R150+S150</f>
        <v>0</v>
      </c>
      <c r="V150" s="26">
        <f t="shared" si="40"/>
        <v>0</v>
      </c>
    </row>
    <row r="151" spans="1:22" ht="15">
      <c r="A151" s="28">
        <v>2</v>
      </c>
      <c r="B151" s="29">
        <v>3</v>
      </c>
      <c r="C151" s="29">
        <v>7</v>
      </c>
      <c r="D151" s="29">
        <v>2</v>
      </c>
      <c r="E151" s="54" t="s">
        <v>42</v>
      </c>
      <c r="F151" s="29" t="s">
        <v>147</v>
      </c>
      <c r="G151" s="30">
        <v>40000</v>
      </c>
      <c r="H151" s="30"/>
      <c r="I151" s="30"/>
      <c r="J151" s="30"/>
      <c r="K151" s="25">
        <v>3186</v>
      </c>
      <c r="L151" s="25"/>
      <c r="M151" s="25"/>
      <c r="N151" s="25"/>
      <c r="O151" s="25">
        <v>0</v>
      </c>
      <c r="P151" s="25">
        <v>0</v>
      </c>
      <c r="Q151" s="25"/>
      <c r="R151" s="25"/>
      <c r="S151" s="25"/>
      <c r="T151" s="25"/>
      <c r="U151" s="30">
        <f>+K151+L151+M151+N151+O151+P151+Q151+S151+T151</f>
        <v>3186</v>
      </c>
      <c r="V151" s="26">
        <f t="shared" si="40"/>
        <v>36814</v>
      </c>
    </row>
    <row r="152" spans="1:22" ht="15">
      <c r="A152" s="28"/>
      <c r="B152" s="29"/>
      <c r="C152" s="29"/>
      <c r="D152" s="29"/>
      <c r="E152" s="54"/>
      <c r="F152" s="29"/>
      <c r="G152" s="30"/>
      <c r="H152" s="30"/>
      <c r="I152" s="30"/>
      <c r="J152" s="30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30"/>
      <c r="V152" s="26">
        <f t="shared" si="40"/>
        <v>0</v>
      </c>
    </row>
    <row r="153" spans="1:23" ht="15">
      <c r="A153" s="27">
        <v>2</v>
      </c>
      <c r="B153" s="1">
        <v>3</v>
      </c>
      <c r="C153" s="1">
        <v>9</v>
      </c>
      <c r="D153" s="29"/>
      <c r="E153" s="55"/>
      <c r="F153" s="1" t="s">
        <v>148</v>
      </c>
      <c r="G153" s="26">
        <f aca="true" t="shared" si="47" ref="G153:Q153">SUM(G154:G162)</f>
        <v>712054.78</v>
      </c>
      <c r="H153" s="26">
        <f t="shared" si="47"/>
        <v>0</v>
      </c>
      <c r="I153" s="26">
        <f t="shared" si="47"/>
        <v>17796.76</v>
      </c>
      <c r="J153" s="26">
        <f t="shared" si="47"/>
        <v>44171.01</v>
      </c>
      <c r="K153" s="26">
        <f t="shared" si="47"/>
        <v>51453.2</v>
      </c>
      <c r="L153" s="26">
        <f t="shared" si="47"/>
        <v>16195.5</v>
      </c>
      <c r="M153" s="26">
        <f t="shared" si="47"/>
        <v>0</v>
      </c>
      <c r="N153" s="26">
        <f t="shared" si="47"/>
        <v>0</v>
      </c>
      <c r="O153" s="26">
        <f t="shared" si="47"/>
        <v>0</v>
      </c>
      <c r="P153" s="26">
        <f t="shared" si="47"/>
        <v>0</v>
      </c>
      <c r="Q153" s="26">
        <f t="shared" si="47"/>
        <v>0</v>
      </c>
      <c r="R153" s="26"/>
      <c r="S153" s="26"/>
      <c r="T153" s="26"/>
      <c r="U153" s="26">
        <f>SUM(U154:U162)</f>
        <v>129616.47</v>
      </c>
      <c r="V153" s="26">
        <f t="shared" si="40"/>
        <v>582438.31</v>
      </c>
      <c r="W153" s="98">
        <f>+U153/G153</f>
        <v>0.18203159874862437</v>
      </c>
    </row>
    <row r="154" spans="1:22" ht="15">
      <c r="A154" s="27">
        <v>2</v>
      </c>
      <c r="B154" s="1">
        <v>3</v>
      </c>
      <c r="C154" s="1">
        <v>9</v>
      </c>
      <c r="D154" s="1">
        <v>1</v>
      </c>
      <c r="E154" s="54" t="s">
        <v>19</v>
      </c>
      <c r="F154" s="1" t="s">
        <v>149</v>
      </c>
      <c r="G154" s="30">
        <v>36810</v>
      </c>
      <c r="H154" s="26"/>
      <c r="I154" s="30">
        <v>2610.16</v>
      </c>
      <c r="J154" s="26"/>
      <c r="K154" s="25">
        <v>0</v>
      </c>
      <c r="L154" s="25">
        <v>0</v>
      </c>
      <c r="M154" s="25">
        <v>0</v>
      </c>
      <c r="N154" s="25"/>
      <c r="O154" s="25">
        <v>0</v>
      </c>
      <c r="P154" s="25"/>
      <c r="Q154" s="25"/>
      <c r="R154" s="25"/>
      <c r="S154" s="25"/>
      <c r="T154" s="25"/>
      <c r="U154" s="30">
        <f aca="true" t="shared" si="48" ref="U154:U162">+H154+I154+J154+K154+L154+M154+N154+O154+P154+Q154+R154+S154</f>
        <v>2610.16</v>
      </c>
      <c r="V154" s="26">
        <f t="shared" si="40"/>
        <v>34199.84</v>
      </c>
    </row>
    <row r="155" spans="1:23" ht="22.5">
      <c r="A155" s="32">
        <v>2</v>
      </c>
      <c r="B155" s="33">
        <v>3</v>
      </c>
      <c r="C155" s="33">
        <v>9</v>
      </c>
      <c r="D155" s="33">
        <v>2</v>
      </c>
      <c r="E155" s="54" t="s">
        <v>19</v>
      </c>
      <c r="F155" s="1" t="s">
        <v>150</v>
      </c>
      <c r="G155" s="30">
        <v>117244.78</v>
      </c>
      <c r="H155" s="26"/>
      <c r="I155" s="30">
        <v>14868</v>
      </c>
      <c r="J155" s="30">
        <v>44171.01</v>
      </c>
      <c r="K155" s="25">
        <f>4076.7+2003.64+2987.26+36780.6</f>
        <v>45848.2</v>
      </c>
      <c r="L155" s="25">
        <v>6165.5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/>
      <c r="S155" s="25"/>
      <c r="T155" s="25"/>
      <c r="U155" s="30">
        <f t="shared" si="48"/>
        <v>111052.70999999999</v>
      </c>
      <c r="V155" s="26">
        <f t="shared" si="40"/>
        <v>6192.070000000007</v>
      </c>
      <c r="W155" s="99" t="s">
        <v>200</v>
      </c>
    </row>
    <row r="156" spans="1:22" ht="22.5">
      <c r="A156" s="1">
        <v>2</v>
      </c>
      <c r="B156" s="1">
        <v>3</v>
      </c>
      <c r="C156" s="1">
        <v>9</v>
      </c>
      <c r="D156" s="1">
        <v>4</v>
      </c>
      <c r="E156" s="76"/>
      <c r="F156" s="1" t="s">
        <v>151</v>
      </c>
      <c r="G156" s="30">
        <v>0</v>
      </c>
      <c r="H156" s="26"/>
      <c r="I156" s="26"/>
      <c r="J156" s="26">
        <v>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30">
        <f t="shared" si="48"/>
        <v>0</v>
      </c>
      <c r="V156" s="26">
        <f t="shared" si="40"/>
        <v>0</v>
      </c>
    </row>
    <row r="157" spans="1:22" ht="15">
      <c r="A157" s="42">
        <v>2</v>
      </c>
      <c r="B157" s="43">
        <v>3</v>
      </c>
      <c r="C157" s="43">
        <v>9</v>
      </c>
      <c r="D157" s="43">
        <v>5</v>
      </c>
      <c r="E157" s="64"/>
      <c r="F157" s="1" t="s">
        <v>152</v>
      </c>
      <c r="G157" s="30">
        <v>20000</v>
      </c>
      <c r="H157" s="26"/>
      <c r="I157" s="26"/>
      <c r="J157" s="26">
        <v>0</v>
      </c>
      <c r="K157" s="25">
        <v>0</v>
      </c>
      <c r="L157" s="25"/>
      <c r="M157" s="25"/>
      <c r="N157" s="25"/>
      <c r="O157" s="25">
        <v>0</v>
      </c>
      <c r="P157" s="25">
        <v>0</v>
      </c>
      <c r="Q157" s="25"/>
      <c r="R157" s="25"/>
      <c r="S157" s="25"/>
      <c r="T157" s="25"/>
      <c r="U157" s="30">
        <f t="shared" si="48"/>
        <v>0</v>
      </c>
      <c r="V157" s="26">
        <f t="shared" si="40"/>
        <v>20000</v>
      </c>
    </row>
    <row r="158" spans="1:22" ht="15">
      <c r="A158" s="32">
        <v>2</v>
      </c>
      <c r="B158" s="33">
        <v>3</v>
      </c>
      <c r="C158" s="33">
        <v>9</v>
      </c>
      <c r="D158" s="33">
        <v>6</v>
      </c>
      <c r="E158" s="65"/>
      <c r="F158" s="1" t="s">
        <v>153</v>
      </c>
      <c r="G158" s="30">
        <v>15000</v>
      </c>
      <c r="H158" s="26"/>
      <c r="I158" s="26"/>
      <c r="J158" s="30">
        <v>0</v>
      </c>
      <c r="K158" s="25">
        <v>5605</v>
      </c>
      <c r="L158" s="25"/>
      <c r="M158" s="25">
        <v>0</v>
      </c>
      <c r="N158" s="25"/>
      <c r="O158" s="25">
        <v>0</v>
      </c>
      <c r="P158" s="25">
        <v>0</v>
      </c>
      <c r="Q158" s="25"/>
      <c r="R158" s="25"/>
      <c r="S158" s="25"/>
      <c r="T158" s="25"/>
      <c r="U158" s="30">
        <f t="shared" si="48"/>
        <v>5605</v>
      </c>
      <c r="V158" s="26">
        <f aca="true" t="shared" si="49" ref="V158:V189">G158-U158</f>
        <v>9395</v>
      </c>
    </row>
    <row r="159" spans="1:22" ht="15">
      <c r="A159" s="1">
        <v>2</v>
      </c>
      <c r="B159" s="1">
        <v>3</v>
      </c>
      <c r="C159" s="1">
        <v>9</v>
      </c>
      <c r="D159" s="1">
        <v>8</v>
      </c>
      <c r="E159" s="76"/>
      <c r="F159" s="1" t="s">
        <v>154</v>
      </c>
      <c r="G159" s="26">
        <v>0</v>
      </c>
      <c r="H159" s="26">
        <v>0</v>
      </c>
      <c r="I159" s="26">
        <v>0</v>
      </c>
      <c r="J159" s="26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/>
      <c r="S159" s="25"/>
      <c r="T159" s="25"/>
      <c r="U159" s="30">
        <f t="shared" si="48"/>
        <v>0</v>
      </c>
      <c r="V159" s="26">
        <f t="shared" si="49"/>
        <v>0</v>
      </c>
    </row>
    <row r="160" spans="1:22" ht="15">
      <c r="A160" s="1">
        <v>2</v>
      </c>
      <c r="B160" s="1">
        <v>3</v>
      </c>
      <c r="C160" s="1">
        <v>9</v>
      </c>
      <c r="D160" s="1">
        <v>9</v>
      </c>
      <c r="E160" s="76"/>
      <c r="F160" s="1" t="s">
        <v>155</v>
      </c>
      <c r="G160" s="30">
        <v>15000</v>
      </c>
      <c r="H160" s="26"/>
      <c r="I160" s="30">
        <v>318.6</v>
      </c>
      <c r="J160" s="26">
        <v>0</v>
      </c>
      <c r="K160" s="25"/>
      <c r="L160" s="25">
        <v>10030</v>
      </c>
      <c r="M160" s="25"/>
      <c r="N160" s="25"/>
      <c r="O160" s="25"/>
      <c r="P160" s="25">
        <v>0</v>
      </c>
      <c r="Q160" s="25"/>
      <c r="R160" s="25"/>
      <c r="S160" s="25"/>
      <c r="T160" s="25"/>
      <c r="U160" s="30">
        <f t="shared" si="48"/>
        <v>10348.6</v>
      </c>
      <c r="V160" s="26">
        <f t="shared" si="49"/>
        <v>4651.4</v>
      </c>
    </row>
    <row r="161" spans="1:22" ht="22.5">
      <c r="A161" s="44">
        <v>2</v>
      </c>
      <c r="B161" s="43">
        <v>3</v>
      </c>
      <c r="C161" s="43">
        <v>9</v>
      </c>
      <c r="D161" s="43">
        <v>9</v>
      </c>
      <c r="E161" s="54" t="s">
        <v>23</v>
      </c>
      <c r="F161" s="1" t="s">
        <v>156</v>
      </c>
      <c r="G161" s="30">
        <v>508000</v>
      </c>
      <c r="H161" s="26"/>
      <c r="I161" s="26"/>
      <c r="J161" s="26"/>
      <c r="K161" s="25"/>
      <c r="L161" s="25"/>
      <c r="M161" s="25"/>
      <c r="N161" s="25"/>
      <c r="O161" s="25"/>
      <c r="P161" s="25">
        <v>0</v>
      </c>
      <c r="Q161" s="25"/>
      <c r="R161" s="25"/>
      <c r="S161" s="25"/>
      <c r="T161" s="25"/>
      <c r="U161" s="30">
        <f t="shared" si="48"/>
        <v>0</v>
      </c>
      <c r="V161" s="26">
        <f t="shared" si="49"/>
        <v>508000</v>
      </c>
    </row>
    <row r="162" spans="1:22" ht="15.75" thickBot="1">
      <c r="A162" s="45">
        <v>2</v>
      </c>
      <c r="B162" s="46">
        <v>3</v>
      </c>
      <c r="C162" s="46">
        <v>9</v>
      </c>
      <c r="D162" s="46">
        <v>9</v>
      </c>
      <c r="E162" s="66">
        <v>0</v>
      </c>
      <c r="F162" s="1" t="s">
        <v>157</v>
      </c>
      <c r="G162" s="30">
        <v>0</v>
      </c>
      <c r="H162" s="26"/>
      <c r="I162" s="26"/>
      <c r="J162" s="26"/>
      <c r="K162" s="30"/>
      <c r="L162" s="30"/>
      <c r="M162" s="30"/>
      <c r="N162" s="30"/>
      <c r="O162" s="30">
        <v>0</v>
      </c>
      <c r="P162" s="30"/>
      <c r="Q162" s="30"/>
      <c r="R162" s="30"/>
      <c r="S162" s="30"/>
      <c r="T162" s="30"/>
      <c r="U162" s="30">
        <f t="shared" si="48"/>
        <v>0</v>
      </c>
      <c r="V162" s="26">
        <f t="shared" si="49"/>
        <v>0</v>
      </c>
    </row>
    <row r="163" spans="1:22" ht="15.75" thickBot="1">
      <c r="A163" s="21">
        <v>2</v>
      </c>
      <c r="B163" s="22">
        <v>4</v>
      </c>
      <c r="C163" s="22"/>
      <c r="D163" s="22"/>
      <c r="E163" s="51"/>
      <c r="F163" s="1" t="s">
        <v>158</v>
      </c>
      <c r="G163" s="26">
        <f>G165</f>
        <v>0</v>
      </c>
      <c r="H163" s="26">
        <f>H165</f>
        <v>0</v>
      </c>
      <c r="I163" s="26">
        <f>I165</f>
        <v>0</v>
      </c>
      <c r="J163" s="26">
        <f>J165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0">
        <f>U165</f>
        <v>0</v>
      </c>
      <c r="V163" s="26">
        <f t="shared" si="49"/>
        <v>0</v>
      </c>
    </row>
    <row r="164" spans="1:22" ht="15">
      <c r="A164" s="23"/>
      <c r="B164" s="24"/>
      <c r="C164" s="34"/>
      <c r="D164" s="34"/>
      <c r="E164" s="58"/>
      <c r="F164" s="1"/>
      <c r="G164" s="26"/>
      <c r="H164" s="30"/>
      <c r="I164" s="30"/>
      <c r="J164" s="30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0"/>
      <c r="V164" s="26">
        <f t="shared" si="49"/>
        <v>0</v>
      </c>
    </row>
    <row r="165" spans="1:22" ht="22.5">
      <c r="A165" s="27">
        <v>2</v>
      </c>
      <c r="B165" s="1">
        <v>4</v>
      </c>
      <c r="C165" s="1">
        <v>1</v>
      </c>
      <c r="D165" s="29"/>
      <c r="E165" s="55"/>
      <c r="F165" s="1" t="s">
        <v>159</v>
      </c>
      <c r="G165" s="26">
        <f>G166+G169+G172+G173</f>
        <v>0</v>
      </c>
      <c r="H165" s="26">
        <f>H166+H169+H172+H173</f>
        <v>0</v>
      </c>
      <c r="I165" s="26">
        <f>I166+I169+I172+I173</f>
        <v>0</v>
      </c>
      <c r="J165" s="26">
        <f>J166+J169+J172+J173</f>
        <v>0</v>
      </c>
      <c r="K165" s="26">
        <f>K166+K169+K172+K173</f>
        <v>0</v>
      </c>
      <c r="L165" s="26"/>
      <c r="M165" s="26"/>
      <c r="N165" s="26"/>
      <c r="O165" s="26"/>
      <c r="P165" s="26"/>
      <c r="Q165" s="26"/>
      <c r="R165" s="26"/>
      <c r="S165" s="26"/>
      <c r="T165" s="26"/>
      <c r="U165" s="30">
        <f>U166+U169+U172+U173</f>
        <v>0</v>
      </c>
      <c r="V165" s="26">
        <f t="shared" si="49"/>
        <v>0</v>
      </c>
    </row>
    <row r="166" spans="1:22" ht="15">
      <c r="A166" s="27">
        <v>2</v>
      </c>
      <c r="B166" s="1">
        <v>4</v>
      </c>
      <c r="C166" s="1">
        <v>1</v>
      </c>
      <c r="D166" s="1">
        <v>2</v>
      </c>
      <c r="E166" s="53"/>
      <c r="F166" s="1" t="s">
        <v>160</v>
      </c>
      <c r="G166" s="26">
        <f>G167+G168</f>
        <v>0</v>
      </c>
      <c r="H166" s="26">
        <f>H167+H168</f>
        <v>0</v>
      </c>
      <c r="I166" s="26">
        <f>I167+I168</f>
        <v>0</v>
      </c>
      <c r="J166" s="26">
        <f>J167+J168</f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30">
        <f>U167+U168</f>
        <v>0</v>
      </c>
      <c r="V166" s="26">
        <f t="shared" si="49"/>
        <v>0</v>
      </c>
    </row>
    <row r="167" spans="1:22" ht="23.25">
      <c r="A167" s="28">
        <v>2</v>
      </c>
      <c r="B167" s="29">
        <v>4</v>
      </c>
      <c r="C167" s="29">
        <v>1</v>
      </c>
      <c r="D167" s="29">
        <v>2</v>
      </c>
      <c r="E167" s="54" t="s">
        <v>19</v>
      </c>
      <c r="F167" s="29" t="s">
        <v>161</v>
      </c>
      <c r="G167" s="30">
        <v>0</v>
      </c>
      <c r="H167" s="30"/>
      <c r="I167" s="30"/>
      <c r="J167" s="30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30">
        <f>+H167+I167+J167+K167+L167+M167+N167+O167+P167+Q167+R167+S167</f>
        <v>0</v>
      </c>
      <c r="V167" s="26">
        <f t="shared" si="49"/>
        <v>0</v>
      </c>
    </row>
    <row r="168" spans="1:22" ht="23.25">
      <c r="A168" s="28">
        <v>2</v>
      </c>
      <c r="B168" s="29">
        <v>4</v>
      </c>
      <c r="C168" s="29">
        <v>1</v>
      </c>
      <c r="D168" s="29">
        <v>2</v>
      </c>
      <c r="E168" s="54" t="s">
        <v>23</v>
      </c>
      <c r="F168" s="29" t="s">
        <v>162</v>
      </c>
      <c r="G168" s="30">
        <v>0</v>
      </c>
      <c r="H168" s="30"/>
      <c r="I168" s="30"/>
      <c r="J168" s="30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30">
        <f>+H168+I168+J168+K168+L168+M168+N168+O168+P168+Q168+R168+S168</f>
        <v>0</v>
      </c>
      <c r="V168" s="26">
        <f t="shared" si="49"/>
        <v>0</v>
      </c>
    </row>
    <row r="169" spans="1:22" ht="15">
      <c r="A169" s="27">
        <v>2</v>
      </c>
      <c r="B169" s="1">
        <v>4</v>
      </c>
      <c r="C169" s="1">
        <v>1</v>
      </c>
      <c r="D169" s="1">
        <v>4</v>
      </c>
      <c r="E169" s="53"/>
      <c r="F169" s="1" t="s">
        <v>163</v>
      </c>
      <c r="G169" s="26">
        <f>G170+G171</f>
        <v>0</v>
      </c>
      <c r="H169" s="26">
        <f>H170+H171</f>
        <v>0</v>
      </c>
      <c r="I169" s="26">
        <f>I170+I171</f>
        <v>0</v>
      </c>
      <c r="J169" s="26">
        <f>J170+J171</f>
        <v>0</v>
      </c>
      <c r="K169" s="26">
        <f>K170+K171</f>
        <v>0</v>
      </c>
      <c r="L169" s="26"/>
      <c r="M169" s="26"/>
      <c r="N169" s="26"/>
      <c r="O169" s="26"/>
      <c r="P169" s="26"/>
      <c r="Q169" s="26"/>
      <c r="R169" s="26"/>
      <c r="S169" s="26"/>
      <c r="T169" s="26"/>
      <c r="U169" s="30">
        <f>U170+U171</f>
        <v>0</v>
      </c>
      <c r="V169" s="26">
        <f t="shared" si="49"/>
        <v>0</v>
      </c>
    </row>
    <row r="170" spans="1:22" ht="15">
      <c r="A170" s="28">
        <v>2</v>
      </c>
      <c r="B170" s="29">
        <v>4</v>
      </c>
      <c r="C170" s="29">
        <v>1</v>
      </c>
      <c r="D170" s="29">
        <v>4</v>
      </c>
      <c r="E170" s="54" t="s">
        <v>19</v>
      </c>
      <c r="F170" s="29" t="s">
        <v>164</v>
      </c>
      <c r="G170" s="30">
        <v>0</v>
      </c>
      <c r="H170" s="30"/>
      <c r="I170" s="30"/>
      <c r="J170" s="30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30">
        <f>+H170+I170+J170+K170+L170+M170+N170+O170+P170+Q170+R170+S170</f>
        <v>0</v>
      </c>
      <c r="V170" s="26">
        <f t="shared" si="49"/>
        <v>0</v>
      </c>
    </row>
    <row r="171" spans="1:22" ht="15">
      <c r="A171" s="28">
        <v>2</v>
      </c>
      <c r="B171" s="29">
        <v>4</v>
      </c>
      <c r="C171" s="29">
        <v>1</v>
      </c>
      <c r="D171" s="29">
        <v>4</v>
      </c>
      <c r="E171" s="54" t="s">
        <v>23</v>
      </c>
      <c r="F171" s="29" t="s">
        <v>165</v>
      </c>
      <c r="G171" s="30">
        <v>0</v>
      </c>
      <c r="H171" s="30">
        <v>0</v>
      </c>
      <c r="I171" s="30">
        <v>0</v>
      </c>
      <c r="J171" s="30">
        <v>0</v>
      </c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30">
        <f>+H171+I171+J171+K171+L171+M171+N171+O171+P171+Q171+R171+S171</f>
        <v>0</v>
      </c>
      <c r="V171" s="26">
        <f t="shared" si="49"/>
        <v>0</v>
      </c>
    </row>
    <row r="172" spans="1:22" ht="22.5">
      <c r="A172" s="27">
        <v>2</v>
      </c>
      <c r="B172" s="1">
        <v>4</v>
      </c>
      <c r="C172" s="1">
        <v>1</v>
      </c>
      <c r="D172" s="1">
        <v>5</v>
      </c>
      <c r="E172" s="53"/>
      <c r="F172" s="1" t="s">
        <v>166</v>
      </c>
      <c r="G172" s="26">
        <v>0</v>
      </c>
      <c r="H172" s="26"/>
      <c r="I172" s="26"/>
      <c r="J172" s="26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30">
        <f>+H172+I172+J172+K172+L172+M172+N172+O172+P172+Q172+R172+S172</f>
        <v>0</v>
      </c>
      <c r="V172" s="26">
        <f t="shared" si="49"/>
        <v>0</v>
      </c>
    </row>
    <row r="173" spans="1:22" ht="22.5">
      <c r="A173" s="27">
        <v>2</v>
      </c>
      <c r="B173" s="1">
        <v>4</v>
      </c>
      <c r="C173" s="1">
        <v>1</v>
      </c>
      <c r="D173" s="1">
        <v>6</v>
      </c>
      <c r="E173" s="53"/>
      <c r="F173" s="1" t="s">
        <v>167</v>
      </c>
      <c r="G173" s="26">
        <f>G174+G175</f>
        <v>0</v>
      </c>
      <c r="H173" s="26">
        <f>H174+H175</f>
        <v>0</v>
      </c>
      <c r="I173" s="26">
        <f>I174+I175</f>
        <v>0</v>
      </c>
      <c r="J173" s="26">
        <f>J174+J175</f>
        <v>0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30">
        <f>U174+U175</f>
        <v>0</v>
      </c>
      <c r="V173" s="26">
        <f t="shared" si="49"/>
        <v>0</v>
      </c>
    </row>
    <row r="174" spans="1:22" ht="23.25">
      <c r="A174" s="28">
        <v>2</v>
      </c>
      <c r="B174" s="29">
        <v>4</v>
      </c>
      <c r="C174" s="29">
        <v>1</v>
      </c>
      <c r="D174" s="29">
        <v>6</v>
      </c>
      <c r="E174" s="54" t="s">
        <v>19</v>
      </c>
      <c r="F174" s="29" t="s">
        <v>168</v>
      </c>
      <c r="G174" s="30">
        <v>0</v>
      </c>
      <c r="H174" s="30"/>
      <c r="I174" s="30"/>
      <c r="J174" s="30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30">
        <f>+H174+I174+J174+K174+L174+M174+N174+O174+P174+Q174+R174+S174</f>
        <v>0</v>
      </c>
      <c r="V174" s="26">
        <f t="shared" si="49"/>
        <v>0</v>
      </c>
    </row>
    <row r="175" spans="1:22" ht="23.25">
      <c r="A175" s="28">
        <v>2</v>
      </c>
      <c r="B175" s="29">
        <v>4</v>
      </c>
      <c r="C175" s="29">
        <v>1</v>
      </c>
      <c r="D175" s="29">
        <v>6</v>
      </c>
      <c r="E175" s="54" t="s">
        <v>27</v>
      </c>
      <c r="F175" s="29" t="s">
        <v>169</v>
      </c>
      <c r="G175" s="30">
        <v>0</v>
      </c>
      <c r="H175" s="30"/>
      <c r="I175" s="30"/>
      <c r="J175" s="30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30">
        <f>+H175+I175+J175+K175+L175+M175+N175+O175+P175+Q175+R175+S175</f>
        <v>0</v>
      </c>
      <c r="V175" s="26">
        <f t="shared" si="49"/>
        <v>0</v>
      </c>
    </row>
    <row r="176" spans="1:22" ht="15.75" thickBot="1">
      <c r="A176" s="40"/>
      <c r="B176" s="41"/>
      <c r="C176" s="41"/>
      <c r="D176" s="41"/>
      <c r="E176" s="67"/>
      <c r="F176" s="29"/>
      <c r="G176" s="30"/>
      <c r="H176" s="30"/>
      <c r="I176" s="30"/>
      <c r="J176" s="30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30">
        <f>+H176+I176+J176+K176+L176+M176+N176+O176+P176+Q176+R176</f>
        <v>0</v>
      </c>
      <c r="V176" s="26">
        <f t="shared" si="49"/>
        <v>0</v>
      </c>
    </row>
    <row r="177" spans="1:22" ht="23.25" thickBot="1">
      <c r="A177" s="21">
        <v>2</v>
      </c>
      <c r="B177" s="22">
        <v>6</v>
      </c>
      <c r="C177" s="22"/>
      <c r="D177" s="22"/>
      <c r="E177" s="51"/>
      <c r="F177" s="1" t="s">
        <v>170</v>
      </c>
      <c r="G177" s="26">
        <f>+G179+G185+G189+G192+G197</f>
        <v>339943</v>
      </c>
      <c r="H177" s="26">
        <f aca="true" t="shared" si="50" ref="H177:U177">H179+H185+H206+H189+H192+H203</f>
        <v>0</v>
      </c>
      <c r="I177" s="26">
        <f t="shared" si="50"/>
        <v>0</v>
      </c>
      <c r="J177" s="26">
        <f t="shared" si="50"/>
        <v>0</v>
      </c>
      <c r="K177" s="26">
        <f t="shared" si="50"/>
        <v>0</v>
      </c>
      <c r="L177" s="26">
        <f t="shared" si="50"/>
        <v>44268.82</v>
      </c>
      <c r="M177" s="26">
        <f t="shared" si="50"/>
        <v>0</v>
      </c>
      <c r="N177" s="26">
        <f t="shared" si="50"/>
        <v>0</v>
      </c>
      <c r="O177" s="26">
        <f t="shared" si="50"/>
        <v>0</v>
      </c>
      <c r="P177" s="26">
        <f t="shared" si="50"/>
        <v>0</v>
      </c>
      <c r="Q177" s="26">
        <f t="shared" si="50"/>
        <v>0</v>
      </c>
      <c r="R177" s="26"/>
      <c r="S177" s="26"/>
      <c r="T177" s="26"/>
      <c r="U177" s="26">
        <f t="shared" si="50"/>
        <v>44268.82</v>
      </c>
      <c r="V177" s="26">
        <f t="shared" si="49"/>
        <v>295674.18</v>
      </c>
    </row>
    <row r="178" spans="1:22" ht="15">
      <c r="A178" s="23"/>
      <c r="B178" s="24"/>
      <c r="C178" s="34"/>
      <c r="D178" s="34"/>
      <c r="E178" s="58"/>
      <c r="F178" s="1"/>
      <c r="G178" s="26"/>
      <c r="H178" s="30"/>
      <c r="I178" s="30"/>
      <c r="J178" s="30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6"/>
      <c r="V178" s="26">
        <f t="shared" si="49"/>
        <v>0</v>
      </c>
    </row>
    <row r="179" spans="1:22" ht="15">
      <c r="A179" s="27">
        <v>2</v>
      </c>
      <c r="B179" s="1">
        <v>6</v>
      </c>
      <c r="C179" s="1">
        <v>1</v>
      </c>
      <c r="D179" s="1"/>
      <c r="E179" s="55"/>
      <c r="F179" s="1" t="s">
        <v>171</v>
      </c>
      <c r="G179" s="26">
        <f>G180+G181+G183+G182</f>
        <v>90000</v>
      </c>
      <c r="H179" s="26">
        <f aca="true" t="shared" si="51" ref="H179:O179">H180+H181+H183+H182</f>
        <v>0</v>
      </c>
      <c r="I179" s="26">
        <f t="shared" si="51"/>
        <v>0</v>
      </c>
      <c r="J179" s="26">
        <f t="shared" si="51"/>
        <v>0</v>
      </c>
      <c r="K179" s="26">
        <f t="shared" si="51"/>
        <v>0</v>
      </c>
      <c r="L179" s="26">
        <f t="shared" si="51"/>
        <v>38370</v>
      </c>
      <c r="M179" s="26">
        <f t="shared" si="51"/>
        <v>0</v>
      </c>
      <c r="N179" s="26">
        <f t="shared" si="51"/>
        <v>0</v>
      </c>
      <c r="O179" s="26">
        <f t="shared" si="51"/>
        <v>0</v>
      </c>
      <c r="P179" s="26">
        <f>P180+P181+P183+P182</f>
        <v>0</v>
      </c>
      <c r="Q179" s="26">
        <f>Q180+Q181+Q183+Q182</f>
        <v>0</v>
      </c>
      <c r="R179" s="26"/>
      <c r="S179" s="26"/>
      <c r="T179" s="26"/>
      <c r="U179" s="26">
        <f>U180+U181+U183+U182</f>
        <v>38370</v>
      </c>
      <c r="V179" s="26">
        <f t="shared" si="49"/>
        <v>51630</v>
      </c>
    </row>
    <row r="180" spans="1:22" ht="21">
      <c r="A180" s="27">
        <v>2</v>
      </c>
      <c r="B180" s="1">
        <v>6</v>
      </c>
      <c r="C180" s="1">
        <v>1</v>
      </c>
      <c r="D180" s="1">
        <v>1</v>
      </c>
      <c r="E180" s="53" t="s">
        <v>71</v>
      </c>
      <c r="F180" s="1" t="s">
        <v>172</v>
      </c>
      <c r="G180" s="30">
        <v>15000</v>
      </c>
      <c r="H180" s="26"/>
      <c r="I180" s="30">
        <v>0</v>
      </c>
      <c r="J180" s="30">
        <v>0</v>
      </c>
      <c r="K180" s="25"/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/>
      <c r="S180" s="25"/>
      <c r="T180" s="25"/>
      <c r="U180" s="30">
        <f>+H180+I180+J180+K180++N180+L180+M180+P180+Q180+R180+S180+O180</f>
        <v>0</v>
      </c>
      <c r="V180" s="26">
        <f t="shared" si="49"/>
        <v>15000</v>
      </c>
    </row>
    <row r="181" spans="1:22" ht="21">
      <c r="A181" s="27">
        <v>2</v>
      </c>
      <c r="B181" s="1">
        <v>6</v>
      </c>
      <c r="C181" s="1">
        <v>1</v>
      </c>
      <c r="D181" s="1">
        <v>3</v>
      </c>
      <c r="E181" s="53" t="s">
        <v>71</v>
      </c>
      <c r="F181" s="1" t="s">
        <v>173</v>
      </c>
      <c r="G181" s="30">
        <v>60000</v>
      </c>
      <c r="H181" s="26"/>
      <c r="I181" s="30">
        <v>0</v>
      </c>
      <c r="J181" s="30">
        <v>0</v>
      </c>
      <c r="K181" s="25">
        <v>0</v>
      </c>
      <c r="L181" s="25">
        <v>38370</v>
      </c>
      <c r="M181" s="25"/>
      <c r="N181" s="25"/>
      <c r="O181" s="25"/>
      <c r="P181" s="25"/>
      <c r="Q181" s="25">
        <v>0</v>
      </c>
      <c r="R181" s="25"/>
      <c r="S181" s="25"/>
      <c r="T181" s="25"/>
      <c r="U181" s="30">
        <f>+H181+I181+J181+K181++N181+L181+M181+P181+Q181+R181+S181+O181</f>
        <v>38370</v>
      </c>
      <c r="V181" s="26">
        <f t="shared" si="49"/>
        <v>21630</v>
      </c>
    </row>
    <row r="182" spans="1:22" ht="21">
      <c r="A182" s="27">
        <v>2</v>
      </c>
      <c r="B182" s="1">
        <v>6</v>
      </c>
      <c r="C182" s="1">
        <v>1</v>
      </c>
      <c r="D182" s="1">
        <v>4</v>
      </c>
      <c r="E182" s="53" t="s">
        <v>71</v>
      </c>
      <c r="F182" s="1" t="s">
        <v>174</v>
      </c>
      <c r="G182" s="30">
        <v>8000</v>
      </c>
      <c r="H182" s="26"/>
      <c r="I182" s="26"/>
      <c r="J182" s="26"/>
      <c r="K182" s="25"/>
      <c r="L182" s="25">
        <v>0</v>
      </c>
      <c r="M182" s="25"/>
      <c r="N182" s="25"/>
      <c r="O182" s="25"/>
      <c r="P182" s="25">
        <v>0</v>
      </c>
      <c r="Q182" s="25"/>
      <c r="R182" s="25"/>
      <c r="S182" s="25"/>
      <c r="T182" s="25"/>
      <c r="U182" s="30">
        <f>+H182+I182+J182+K182++N182+L182+M182+P182+Q182+R182+S182+O182</f>
        <v>0</v>
      </c>
      <c r="V182" s="26">
        <f t="shared" si="49"/>
        <v>8000</v>
      </c>
    </row>
    <row r="183" spans="1:22" ht="22.5">
      <c r="A183" s="27">
        <v>2</v>
      </c>
      <c r="B183" s="1">
        <v>6</v>
      </c>
      <c r="C183" s="1">
        <v>1</v>
      </c>
      <c r="D183" s="1">
        <v>9</v>
      </c>
      <c r="E183" s="53"/>
      <c r="F183" s="1" t="s">
        <v>175</v>
      </c>
      <c r="G183" s="30">
        <v>7000</v>
      </c>
      <c r="H183" s="26"/>
      <c r="I183" s="26"/>
      <c r="J183" s="26"/>
      <c r="K183" s="25"/>
      <c r="L183" s="25"/>
      <c r="M183" s="25">
        <v>0</v>
      </c>
      <c r="N183" s="25"/>
      <c r="O183" s="25">
        <v>0</v>
      </c>
      <c r="P183" s="25"/>
      <c r="Q183" s="25"/>
      <c r="R183" s="31"/>
      <c r="S183" s="31"/>
      <c r="T183" s="31"/>
      <c r="U183" s="30">
        <f>+H183+I183+J183+K183+L183+M183+N183+O183+P183+Q183+R183+S183</f>
        <v>0</v>
      </c>
      <c r="V183" s="26">
        <f t="shared" si="49"/>
        <v>7000</v>
      </c>
    </row>
    <row r="184" spans="1:22" ht="15">
      <c r="A184" s="28" t="s">
        <v>34</v>
      </c>
      <c r="B184" s="29" t="s">
        <v>34</v>
      </c>
      <c r="C184" s="29"/>
      <c r="D184" s="29"/>
      <c r="E184" s="55"/>
      <c r="F184" s="29"/>
      <c r="G184" s="26"/>
      <c r="H184" s="30"/>
      <c r="I184" s="30"/>
      <c r="J184" s="30"/>
      <c r="K184" s="25"/>
      <c r="L184" s="25"/>
      <c r="M184" s="25"/>
      <c r="N184" s="25"/>
      <c r="O184" s="25"/>
      <c r="P184" s="31" t="s">
        <v>34</v>
      </c>
      <c r="Q184" s="25"/>
      <c r="R184" s="25"/>
      <c r="S184" s="25"/>
      <c r="T184" s="25"/>
      <c r="U184" s="26"/>
      <c r="V184" s="26">
        <f t="shared" si="49"/>
        <v>0</v>
      </c>
    </row>
    <row r="185" spans="1:22" ht="22.5">
      <c r="A185" s="27">
        <v>2</v>
      </c>
      <c r="B185" s="1">
        <v>6</v>
      </c>
      <c r="C185" s="1">
        <v>2</v>
      </c>
      <c r="D185" s="29"/>
      <c r="E185" s="55"/>
      <c r="F185" s="1" t="s">
        <v>176</v>
      </c>
      <c r="G185" s="26">
        <f>+G187+G186</f>
        <v>0</v>
      </c>
      <c r="H185" s="26">
        <f aca="true" t="shared" si="52" ref="H185:U185">+H187+H186</f>
        <v>0</v>
      </c>
      <c r="I185" s="26">
        <f t="shared" si="52"/>
        <v>0</v>
      </c>
      <c r="J185" s="26">
        <f t="shared" si="52"/>
        <v>0</v>
      </c>
      <c r="K185" s="26">
        <f t="shared" si="52"/>
        <v>0</v>
      </c>
      <c r="L185" s="26">
        <f t="shared" si="52"/>
        <v>0</v>
      </c>
      <c r="M185" s="26">
        <f t="shared" si="52"/>
        <v>0</v>
      </c>
      <c r="N185" s="26">
        <f t="shared" si="52"/>
        <v>0</v>
      </c>
      <c r="O185" s="26">
        <f t="shared" si="52"/>
        <v>0</v>
      </c>
      <c r="P185" s="26">
        <f t="shared" si="52"/>
        <v>0</v>
      </c>
      <c r="Q185" s="26">
        <f t="shared" si="52"/>
        <v>0</v>
      </c>
      <c r="R185" s="26"/>
      <c r="S185" s="26"/>
      <c r="T185" s="26"/>
      <c r="U185" s="26">
        <f t="shared" si="52"/>
        <v>0</v>
      </c>
      <c r="V185" s="26">
        <f t="shared" si="49"/>
        <v>0</v>
      </c>
    </row>
    <row r="186" spans="1:22" ht="15">
      <c r="A186" s="27">
        <v>2</v>
      </c>
      <c r="B186" s="1">
        <v>6</v>
      </c>
      <c r="C186" s="1">
        <v>2</v>
      </c>
      <c r="D186" s="29">
        <v>1</v>
      </c>
      <c r="E186" s="55"/>
      <c r="F186" s="1"/>
      <c r="G186" s="26"/>
      <c r="H186" s="26"/>
      <c r="I186" s="26"/>
      <c r="J186" s="26"/>
      <c r="K186" s="26"/>
      <c r="L186" s="26"/>
      <c r="M186" s="26"/>
      <c r="N186" s="26"/>
      <c r="O186" s="26"/>
      <c r="P186" s="30">
        <v>0</v>
      </c>
      <c r="Q186" s="26">
        <v>0</v>
      </c>
      <c r="R186" s="30"/>
      <c r="S186" s="26"/>
      <c r="T186" s="26"/>
      <c r="U186" s="30">
        <f>+H186+I186+J186+K186+L186+M186+N186+O186+P186+Q186+R186+S186</f>
        <v>0</v>
      </c>
      <c r="V186" s="26">
        <f t="shared" si="49"/>
        <v>0</v>
      </c>
    </row>
    <row r="187" spans="1:22" ht="15">
      <c r="A187" s="27">
        <v>2</v>
      </c>
      <c r="B187" s="1">
        <v>6</v>
      </c>
      <c r="C187" s="1">
        <v>2</v>
      </c>
      <c r="D187" s="1">
        <v>3</v>
      </c>
      <c r="E187" s="53"/>
      <c r="F187" s="1" t="s">
        <v>177</v>
      </c>
      <c r="G187" s="26">
        <v>0</v>
      </c>
      <c r="H187" s="26"/>
      <c r="I187" s="26"/>
      <c r="J187" s="26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30">
        <f>+H187+I187+J187+K187+L187+M187+N187+O187+P187+Q187+R187+S187</f>
        <v>0</v>
      </c>
      <c r="V187" s="26">
        <f t="shared" si="49"/>
        <v>0</v>
      </c>
    </row>
    <row r="188" spans="1:22" ht="15">
      <c r="A188" s="27"/>
      <c r="B188" s="1"/>
      <c r="C188" s="1"/>
      <c r="D188" s="1"/>
      <c r="E188" s="53"/>
      <c r="F188" s="1"/>
      <c r="G188" s="26"/>
      <c r="H188" s="26"/>
      <c r="I188" s="26"/>
      <c r="J188" s="26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30"/>
      <c r="V188" s="26">
        <f t="shared" si="49"/>
        <v>0</v>
      </c>
    </row>
    <row r="189" spans="1:22" ht="33">
      <c r="A189" s="27">
        <v>2</v>
      </c>
      <c r="B189" s="1">
        <v>6</v>
      </c>
      <c r="C189" s="1">
        <v>4</v>
      </c>
      <c r="D189" s="1"/>
      <c r="E189" s="53"/>
      <c r="F189" s="1" t="s">
        <v>178</v>
      </c>
      <c r="G189" s="26">
        <f aca="true" t="shared" si="53" ref="G189:Q189">+G190</f>
        <v>0</v>
      </c>
      <c r="H189" s="26">
        <f t="shared" si="53"/>
        <v>0</v>
      </c>
      <c r="I189" s="26">
        <f t="shared" si="53"/>
        <v>0</v>
      </c>
      <c r="J189" s="26">
        <f t="shared" si="53"/>
        <v>0</v>
      </c>
      <c r="K189" s="26">
        <f t="shared" si="53"/>
        <v>0</v>
      </c>
      <c r="L189" s="26">
        <f t="shared" si="53"/>
        <v>0</v>
      </c>
      <c r="M189" s="26">
        <f t="shared" si="53"/>
        <v>0</v>
      </c>
      <c r="N189" s="26">
        <f t="shared" si="53"/>
        <v>0</v>
      </c>
      <c r="O189" s="26">
        <f t="shared" si="53"/>
        <v>0</v>
      </c>
      <c r="P189" s="26">
        <f t="shared" si="53"/>
        <v>0</v>
      </c>
      <c r="Q189" s="26">
        <f t="shared" si="53"/>
        <v>0</v>
      </c>
      <c r="R189" s="26"/>
      <c r="S189" s="26"/>
      <c r="T189" s="26"/>
      <c r="U189" s="26">
        <f>+U190</f>
        <v>0</v>
      </c>
      <c r="V189" s="26">
        <f t="shared" si="49"/>
        <v>0</v>
      </c>
    </row>
    <row r="190" spans="1:22" ht="15">
      <c r="A190" s="28">
        <v>2</v>
      </c>
      <c r="B190" s="29">
        <v>6</v>
      </c>
      <c r="C190" s="29">
        <v>4</v>
      </c>
      <c r="D190" s="29">
        <v>1</v>
      </c>
      <c r="E190" s="67"/>
      <c r="F190" s="29" t="s">
        <v>179</v>
      </c>
      <c r="G190" s="30">
        <v>0</v>
      </c>
      <c r="H190" s="26"/>
      <c r="I190" s="26"/>
      <c r="J190" s="26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30">
        <f>+H190+I190+J190+K190+L190+M190+N190+O190+P190+Q190+R190+S190</f>
        <v>0</v>
      </c>
      <c r="V190" s="26">
        <f aca="true" t="shared" si="54" ref="V190:V195">G190-U190</f>
        <v>0</v>
      </c>
    </row>
    <row r="191" spans="1:22" ht="15">
      <c r="A191" s="28"/>
      <c r="B191" s="29"/>
      <c r="C191" s="29"/>
      <c r="D191" s="29"/>
      <c r="E191" s="55"/>
      <c r="F191" s="29"/>
      <c r="G191" s="30"/>
      <c r="H191" s="30"/>
      <c r="I191" s="30"/>
      <c r="J191" s="30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30"/>
      <c r="V191" s="26">
        <f t="shared" si="54"/>
        <v>0</v>
      </c>
    </row>
    <row r="192" spans="1:22" ht="22.5">
      <c r="A192" s="27">
        <v>2</v>
      </c>
      <c r="B192" s="1">
        <v>6</v>
      </c>
      <c r="C192" s="1">
        <v>5</v>
      </c>
      <c r="D192" s="29"/>
      <c r="E192" s="55"/>
      <c r="F192" s="1" t="s">
        <v>180</v>
      </c>
      <c r="G192" s="26">
        <f>+G193+G194</f>
        <v>90000</v>
      </c>
      <c r="H192" s="26">
        <f aca="true" t="shared" si="55" ref="H192:Q192">+H193+H194</f>
        <v>0</v>
      </c>
      <c r="I192" s="26">
        <f t="shared" si="55"/>
        <v>0</v>
      </c>
      <c r="J192" s="26">
        <f t="shared" si="55"/>
        <v>0</v>
      </c>
      <c r="K192" s="26">
        <f t="shared" si="55"/>
        <v>0</v>
      </c>
      <c r="L192" s="26">
        <f>+L193+L194+L196</f>
        <v>5898.82</v>
      </c>
      <c r="M192" s="26">
        <f t="shared" si="55"/>
        <v>0</v>
      </c>
      <c r="N192" s="26">
        <f t="shared" si="55"/>
        <v>0</v>
      </c>
      <c r="O192" s="26">
        <f t="shared" si="55"/>
        <v>0</v>
      </c>
      <c r="P192" s="26">
        <f t="shared" si="55"/>
        <v>0</v>
      </c>
      <c r="Q192" s="26">
        <f t="shared" si="55"/>
        <v>0</v>
      </c>
      <c r="R192" s="26"/>
      <c r="S192" s="26"/>
      <c r="T192" s="26"/>
      <c r="U192" s="26">
        <f>+U196+U195+U194+U190</f>
        <v>5898.82</v>
      </c>
      <c r="V192" s="26">
        <f t="shared" si="54"/>
        <v>84101.18</v>
      </c>
    </row>
    <row r="193" spans="1:22" ht="33">
      <c r="A193" s="27">
        <v>2</v>
      </c>
      <c r="B193" s="1">
        <v>6</v>
      </c>
      <c r="C193" s="1">
        <v>5</v>
      </c>
      <c r="D193" s="1">
        <v>4</v>
      </c>
      <c r="E193" s="53"/>
      <c r="F193" s="1" t="s">
        <v>181</v>
      </c>
      <c r="G193" s="30">
        <v>90000</v>
      </c>
      <c r="H193" s="26"/>
      <c r="I193" s="26"/>
      <c r="J193" s="26"/>
      <c r="K193" s="25"/>
      <c r="L193" s="25"/>
      <c r="M193" s="25"/>
      <c r="N193" s="25"/>
      <c r="O193" s="25">
        <v>0</v>
      </c>
      <c r="P193" s="25"/>
      <c r="Q193" s="25">
        <v>0</v>
      </c>
      <c r="R193" s="25"/>
      <c r="S193" s="25"/>
      <c r="T193" s="25"/>
      <c r="U193" s="30">
        <f>+H193+I193+J193+K193+L193+M193+N193+O193+P193+Q193+R193+S193</f>
        <v>0</v>
      </c>
      <c r="V193" s="26">
        <f t="shared" si="54"/>
        <v>90000</v>
      </c>
    </row>
    <row r="194" spans="1:22" ht="15">
      <c r="A194" s="27">
        <v>2</v>
      </c>
      <c r="B194" s="1">
        <v>6</v>
      </c>
      <c r="C194" s="1">
        <v>5</v>
      </c>
      <c r="D194" s="1">
        <v>6</v>
      </c>
      <c r="E194" s="53"/>
      <c r="F194" s="1" t="s">
        <v>202</v>
      </c>
      <c r="G194" s="30">
        <v>0</v>
      </c>
      <c r="H194" s="26"/>
      <c r="I194" s="26"/>
      <c r="J194" s="26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30">
        <f>+H194+I194+J194+K194+L194+M194+N194+O194+P194+Q194+R194+S194</f>
        <v>0</v>
      </c>
      <c r="V194" s="26">
        <f t="shared" si="54"/>
        <v>0</v>
      </c>
    </row>
    <row r="195" spans="1:22" ht="15">
      <c r="A195" s="27">
        <v>2</v>
      </c>
      <c r="B195" s="1">
        <v>6</v>
      </c>
      <c r="C195" s="1">
        <v>5</v>
      </c>
      <c r="D195" s="1">
        <v>7</v>
      </c>
      <c r="E195" s="53"/>
      <c r="F195" s="29" t="s">
        <v>182</v>
      </c>
      <c r="G195" s="26"/>
      <c r="H195" s="26"/>
      <c r="I195" s="26"/>
      <c r="J195" s="26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30">
        <f>+S195+R195+Q195+P195+O195+N195+L195+L195+I195</f>
        <v>0</v>
      </c>
      <c r="V195" s="26">
        <f t="shared" si="54"/>
        <v>0</v>
      </c>
    </row>
    <row r="196" spans="1:22" s="74" customFormat="1" ht="21">
      <c r="A196" s="27">
        <v>2</v>
      </c>
      <c r="B196" s="1">
        <v>6</v>
      </c>
      <c r="C196" s="1">
        <v>5</v>
      </c>
      <c r="D196" s="1">
        <v>8</v>
      </c>
      <c r="E196" s="53" t="s">
        <v>71</v>
      </c>
      <c r="F196" s="29" t="s">
        <v>201</v>
      </c>
      <c r="G196" s="26"/>
      <c r="H196" s="26"/>
      <c r="I196" s="26"/>
      <c r="J196" s="26"/>
      <c r="K196" s="25"/>
      <c r="L196" s="25">
        <v>5898.82</v>
      </c>
      <c r="M196" s="25"/>
      <c r="N196" s="25"/>
      <c r="O196" s="25"/>
      <c r="P196" s="25"/>
      <c r="Q196" s="25"/>
      <c r="R196" s="25"/>
      <c r="S196" s="25"/>
      <c r="T196" s="25"/>
      <c r="U196" s="30">
        <f>+L196+M196+N196+O196+P196+Q196+S196+T196</f>
        <v>5898.82</v>
      </c>
      <c r="V196" s="26">
        <f>+G196-U196</f>
        <v>-5898.82</v>
      </c>
    </row>
    <row r="197" spans="1:22" s="74" customFormat="1" ht="15">
      <c r="A197" s="27">
        <v>2</v>
      </c>
      <c r="B197" s="1">
        <v>6</v>
      </c>
      <c r="C197" s="1">
        <v>8</v>
      </c>
      <c r="D197" s="1"/>
      <c r="E197" s="53"/>
      <c r="F197" s="1" t="s">
        <v>198</v>
      </c>
      <c r="G197" s="26">
        <f>+G198</f>
        <v>159943</v>
      </c>
      <c r="H197" s="26"/>
      <c r="I197" s="26"/>
      <c r="J197" s="26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30"/>
      <c r="V197" s="26"/>
    </row>
    <row r="198" spans="1:22" ht="21">
      <c r="A198" s="27">
        <v>2</v>
      </c>
      <c r="B198" s="1">
        <v>6</v>
      </c>
      <c r="C198" s="1">
        <v>8</v>
      </c>
      <c r="D198" s="1">
        <v>8</v>
      </c>
      <c r="E198" s="53" t="s">
        <v>71</v>
      </c>
      <c r="F198" s="29" t="s">
        <v>199</v>
      </c>
      <c r="G198" s="30">
        <v>159943</v>
      </c>
      <c r="H198" s="26"/>
      <c r="I198" s="26"/>
      <c r="J198" s="26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30"/>
      <c r="V198" s="26">
        <f>G198-U198</f>
        <v>159943</v>
      </c>
    </row>
    <row r="199" spans="1:22" s="74" customFormat="1" ht="15">
      <c r="A199" s="27"/>
      <c r="B199" s="1"/>
      <c r="C199" s="1"/>
      <c r="D199" s="1"/>
      <c r="E199" s="53"/>
      <c r="F199" s="1"/>
      <c r="G199" s="26"/>
      <c r="H199" s="26"/>
      <c r="I199" s="26"/>
      <c r="J199" s="26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30"/>
      <c r="V199" s="26"/>
    </row>
    <row r="200" spans="1:22" ht="15">
      <c r="A200" s="27">
        <v>2</v>
      </c>
      <c r="B200" s="1">
        <v>7</v>
      </c>
      <c r="C200" s="1"/>
      <c r="D200" s="1"/>
      <c r="E200" s="53"/>
      <c r="F200" s="1"/>
      <c r="G200" s="26">
        <f>+G201</f>
        <v>0</v>
      </c>
      <c r="H200" s="26">
        <f aca="true" t="shared" si="56" ref="H200:U200">+H201</f>
        <v>0</v>
      </c>
      <c r="I200" s="26">
        <f t="shared" si="56"/>
        <v>0</v>
      </c>
      <c r="J200" s="26">
        <f t="shared" si="56"/>
        <v>0</v>
      </c>
      <c r="K200" s="26">
        <f t="shared" si="56"/>
        <v>0</v>
      </c>
      <c r="L200" s="26">
        <f t="shared" si="56"/>
        <v>0</v>
      </c>
      <c r="M200" s="26">
        <f t="shared" si="56"/>
        <v>0</v>
      </c>
      <c r="N200" s="26">
        <f t="shared" si="56"/>
        <v>0</v>
      </c>
      <c r="O200" s="26">
        <f t="shared" si="56"/>
        <v>0</v>
      </c>
      <c r="P200" s="26">
        <f t="shared" si="56"/>
        <v>0</v>
      </c>
      <c r="Q200" s="26">
        <f t="shared" si="56"/>
        <v>0</v>
      </c>
      <c r="R200" s="26"/>
      <c r="S200" s="26"/>
      <c r="T200" s="26"/>
      <c r="U200" s="26">
        <f t="shared" si="56"/>
        <v>0</v>
      </c>
      <c r="V200" s="26">
        <f aca="true" t="shared" si="57" ref="V200:V214">G200-U200</f>
        <v>0</v>
      </c>
    </row>
    <row r="201" spans="1:22" ht="15">
      <c r="A201" s="27">
        <v>2</v>
      </c>
      <c r="B201" s="1">
        <v>7</v>
      </c>
      <c r="C201" s="1">
        <v>1</v>
      </c>
      <c r="D201" s="1">
        <v>2</v>
      </c>
      <c r="E201" s="53">
        <v>1</v>
      </c>
      <c r="F201" s="1"/>
      <c r="G201" s="30">
        <v>0</v>
      </c>
      <c r="H201" s="26"/>
      <c r="I201" s="26"/>
      <c r="J201" s="26"/>
      <c r="K201" s="25"/>
      <c r="L201" s="25"/>
      <c r="M201" s="25"/>
      <c r="N201" s="25"/>
      <c r="O201" s="25">
        <v>0</v>
      </c>
      <c r="P201" s="25">
        <v>0</v>
      </c>
      <c r="Q201" s="25"/>
      <c r="R201" s="25"/>
      <c r="S201" s="25"/>
      <c r="T201" s="25"/>
      <c r="U201" s="30">
        <f>+O201+P201</f>
        <v>0</v>
      </c>
      <c r="V201" s="26">
        <f t="shared" si="57"/>
        <v>0</v>
      </c>
    </row>
    <row r="202" spans="1:22" ht="15">
      <c r="A202" s="27"/>
      <c r="B202" s="1"/>
      <c r="C202" s="1"/>
      <c r="D202" s="1"/>
      <c r="E202" s="53"/>
      <c r="F202" s="1"/>
      <c r="G202" s="30"/>
      <c r="H202" s="26"/>
      <c r="I202" s="26"/>
      <c r="J202" s="26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30"/>
      <c r="V202" s="26">
        <f t="shared" si="57"/>
        <v>0</v>
      </c>
    </row>
    <row r="203" spans="1:22" ht="15">
      <c r="A203" s="27">
        <v>2</v>
      </c>
      <c r="B203" s="1">
        <v>6</v>
      </c>
      <c r="C203" s="1">
        <v>6</v>
      </c>
      <c r="D203" s="1"/>
      <c r="E203" s="53"/>
      <c r="F203" s="1" t="s">
        <v>183</v>
      </c>
      <c r="G203" s="26">
        <f>+G204</f>
        <v>0</v>
      </c>
      <c r="H203" s="26">
        <f aca="true" t="shared" si="58" ref="H203:Q203">+H204</f>
        <v>0</v>
      </c>
      <c r="I203" s="26">
        <f t="shared" si="58"/>
        <v>0</v>
      </c>
      <c r="J203" s="26">
        <f t="shared" si="58"/>
        <v>0</v>
      </c>
      <c r="K203" s="26">
        <f t="shared" si="58"/>
        <v>0</v>
      </c>
      <c r="L203" s="26">
        <f t="shared" si="58"/>
        <v>0</v>
      </c>
      <c r="M203" s="26">
        <f t="shared" si="58"/>
        <v>0</v>
      </c>
      <c r="N203" s="26">
        <f t="shared" si="58"/>
        <v>0</v>
      </c>
      <c r="O203" s="26">
        <f t="shared" si="58"/>
        <v>0</v>
      </c>
      <c r="P203" s="26">
        <f t="shared" si="58"/>
        <v>0</v>
      </c>
      <c r="Q203" s="26">
        <f t="shared" si="58"/>
        <v>0</v>
      </c>
      <c r="R203" s="26"/>
      <c r="S203" s="26"/>
      <c r="T203" s="26"/>
      <c r="U203" s="26">
        <f>+M203</f>
        <v>0</v>
      </c>
      <c r="V203" s="26">
        <f t="shared" si="57"/>
        <v>0</v>
      </c>
    </row>
    <row r="204" spans="1:22" ht="15">
      <c r="A204" s="28">
        <v>2</v>
      </c>
      <c r="B204" s="29">
        <v>6</v>
      </c>
      <c r="C204" s="29">
        <v>6</v>
      </c>
      <c r="D204" s="29">
        <v>1</v>
      </c>
      <c r="E204" s="55">
        <v>1</v>
      </c>
      <c r="F204" s="29" t="s">
        <v>184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/>
      <c r="S204" s="30"/>
      <c r="T204" s="30"/>
      <c r="U204" s="30">
        <f>+M204</f>
        <v>0</v>
      </c>
      <c r="V204" s="26">
        <f t="shared" si="57"/>
        <v>0</v>
      </c>
    </row>
    <row r="205" spans="1:22" ht="15">
      <c r="A205" s="28"/>
      <c r="B205" s="29"/>
      <c r="C205" s="29"/>
      <c r="D205" s="29"/>
      <c r="E205" s="55"/>
      <c r="F205" s="29"/>
      <c r="G205" s="30"/>
      <c r="H205" s="30"/>
      <c r="I205" s="30"/>
      <c r="J205" s="30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30"/>
      <c r="V205" s="26">
        <f t="shared" si="57"/>
        <v>0</v>
      </c>
    </row>
    <row r="206" spans="1:22" ht="15">
      <c r="A206" s="27">
        <v>2</v>
      </c>
      <c r="B206" s="1">
        <v>6</v>
      </c>
      <c r="C206" s="1">
        <v>8</v>
      </c>
      <c r="D206" s="29"/>
      <c r="E206" s="55"/>
      <c r="F206" s="1" t="s">
        <v>185</v>
      </c>
      <c r="G206" s="26">
        <f>+G207+G208+G211+G212</f>
        <v>0</v>
      </c>
      <c r="H206" s="26">
        <f>+H207+H208+H211+H212</f>
        <v>0</v>
      </c>
      <c r="I206" s="26">
        <f>+I207+I208+I211+I212</f>
        <v>0</v>
      </c>
      <c r="J206" s="26">
        <v>0</v>
      </c>
      <c r="K206" s="26">
        <f>+K207+K208+K211+K212</f>
        <v>0</v>
      </c>
      <c r="L206" s="26"/>
      <c r="M206" s="26"/>
      <c r="N206" s="26"/>
      <c r="O206" s="26"/>
      <c r="P206" s="26"/>
      <c r="Q206" s="26"/>
      <c r="R206" s="26"/>
      <c r="S206" s="26"/>
      <c r="T206" s="26"/>
      <c r="U206" s="30">
        <f>U207+U208+U211+U212</f>
        <v>0</v>
      </c>
      <c r="V206" s="26">
        <f t="shared" si="57"/>
        <v>0</v>
      </c>
    </row>
    <row r="207" spans="1:22" ht="15">
      <c r="A207" s="27">
        <v>2</v>
      </c>
      <c r="B207" s="1">
        <v>6</v>
      </c>
      <c r="C207" s="1">
        <v>8</v>
      </c>
      <c r="D207" s="1">
        <v>1</v>
      </c>
      <c r="E207" s="53"/>
      <c r="F207" s="1" t="s">
        <v>186</v>
      </c>
      <c r="G207" s="26">
        <v>0</v>
      </c>
      <c r="H207" s="26"/>
      <c r="I207" s="26"/>
      <c r="J207" s="26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30">
        <f>+H207+I207+J207+K207+L207+M207+N207+O207+P207+Q207+R207+S207</f>
        <v>0</v>
      </c>
      <c r="V207" s="26">
        <f t="shared" si="57"/>
        <v>0</v>
      </c>
    </row>
    <row r="208" spans="1:22" ht="22.5">
      <c r="A208" s="27">
        <v>2</v>
      </c>
      <c r="B208" s="1">
        <v>6</v>
      </c>
      <c r="C208" s="1">
        <v>8</v>
      </c>
      <c r="D208" s="1">
        <v>3</v>
      </c>
      <c r="E208" s="53"/>
      <c r="F208" s="1" t="s">
        <v>187</v>
      </c>
      <c r="G208" s="26">
        <f>G209+G210</f>
        <v>0</v>
      </c>
      <c r="H208" s="26">
        <f>H209+H210</f>
        <v>0</v>
      </c>
      <c r="I208" s="26">
        <f>I209+I210</f>
        <v>0</v>
      </c>
      <c r="J208" s="26">
        <f>J209+J210</f>
        <v>0</v>
      </c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0">
        <f>U209+U210</f>
        <v>0</v>
      </c>
      <c r="V208" s="26">
        <f t="shared" si="57"/>
        <v>0</v>
      </c>
    </row>
    <row r="209" spans="1:22" ht="15">
      <c r="A209" s="28">
        <v>2</v>
      </c>
      <c r="B209" s="29">
        <v>6</v>
      </c>
      <c r="C209" s="29">
        <v>8</v>
      </c>
      <c r="D209" s="29">
        <v>3</v>
      </c>
      <c r="E209" s="54" t="s">
        <v>19</v>
      </c>
      <c r="F209" s="29" t="s">
        <v>188</v>
      </c>
      <c r="G209" s="30">
        <v>0</v>
      </c>
      <c r="H209" s="30"/>
      <c r="I209" s="30"/>
      <c r="J209" s="30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30">
        <f>+H209+I209+J209+K209+L209+M209+N209+O209+P209+Q209+R209+S209</f>
        <v>0</v>
      </c>
      <c r="V209" s="26">
        <f t="shared" si="57"/>
        <v>0</v>
      </c>
    </row>
    <row r="210" spans="1:22" ht="15">
      <c r="A210" s="28">
        <v>2</v>
      </c>
      <c r="B210" s="29">
        <v>6</v>
      </c>
      <c r="C210" s="29">
        <v>8</v>
      </c>
      <c r="D210" s="29">
        <v>3</v>
      </c>
      <c r="E210" s="54" t="s">
        <v>23</v>
      </c>
      <c r="F210" s="29" t="s">
        <v>189</v>
      </c>
      <c r="G210" s="30">
        <v>0</v>
      </c>
      <c r="H210" s="30"/>
      <c r="I210" s="30"/>
      <c r="J210" s="30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30">
        <f>+H210+I210+J210+K210+L210+M210+N210+O210+P210+Q210+R210+S210</f>
        <v>0</v>
      </c>
      <c r="V210" s="26">
        <f t="shared" si="57"/>
        <v>0</v>
      </c>
    </row>
    <row r="211" spans="1:22" ht="15">
      <c r="A211" s="27">
        <v>2</v>
      </c>
      <c r="B211" s="1">
        <v>6</v>
      </c>
      <c r="C211" s="1">
        <v>8</v>
      </c>
      <c r="D211" s="1">
        <v>5</v>
      </c>
      <c r="E211" s="53"/>
      <c r="F211" s="1" t="s">
        <v>190</v>
      </c>
      <c r="G211" s="26">
        <v>0</v>
      </c>
      <c r="H211" s="26"/>
      <c r="I211" s="26"/>
      <c r="J211" s="26">
        <v>0</v>
      </c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30">
        <f>+H211+I211+J211+K211+L211+M211+N211+O211+P211+Q211+R211+S211</f>
        <v>0</v>
      </c>
      <c r="V211" s="26">
        <f t="shared" si="57"/>
        <v>0</v>
      </c>
    </row>
    <row r="212" spans="1:22" ht="15">
      <c r="A212" s="27">
        <v>2</v>
      </c>
      <c r="B212" s="1">
        <v>6</v>
      </c>
      <c r="C212" s="1">
        <v>8</v>
      </c>
      <c r="D212" s="1">
        <v>8</v>
      </c>
      <c r="E212" s="53"/>
      <c r="F212" s="1" t="s">
        <v>191</v>
      </c>
      <c r="G212" s="26">
        <f>+G213</f>
        <v>0</v>
      </c>
      <c r="H212" s="26">
        <f>+H213</f>
        <v>0</v>
      </c>
      <c r="I212" s="26">
        <f>+I213</f>
        <v>0</v>
      </c>
      <c r="J212" s="26">
        <f>+J213</f>
        <v>0</v>
      </c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30">
        <f>U213</f>
        <v>0</v>
      </c>
      <c r="V212" s="26">
        <f t="shared" si="57"/>
        <v>0</v>
      </c>
    </row>
    <row r="213" spans="1:22" ht="15.75" thickBot="1">
      <c r="A213" s="40">
        <v>2</v>
      </c>
      <c r="B213" s="41">
        <v>6</v>
      </c>
      <c r="C213" s="41">
        <v>8</v>
      </c>
      <c r="D213" s="41">
        <v>8</v>
      </c>
      <c r="E213" s="67" t="s">
        <v>19</v>
      </c>
      <c r="F213" s="29" t="s">
        <v>192</v>
      </c>
      <c r="G213" s="30">
        <v>0</v>
      </c>
      <c r="H213" s="30"/>
      <c r="I213" s="30"/>
      <c r="J213" s="30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30">
        <f>+H213+I213+J213+K213+L213+M213+N213+O213+P213+Q213+R213+S213</f>
        <v>0</v>
      </c>
      <c r="V213" s="26">
        <f t="shared" si="57"/>
        <v>0</v>
      </c>
    </row>
    <row r="214" spans="1:23" ht="15.75" thickBot="1">
      <c r="A214" s="48"/>
      <c r="B214" s="49"/>
      <c r="C214" s="49"/>
      <c r="D214" s="49"/>
      <c r="E214" s="68"/>
      <c r="F214" s="81" t="s">
        <v>193</v>
      </c>
      <c r="G214" s="91">
        <f aca="true" t="shared" si="59" ref="G214:S214">G4+G46+G111+G163+G177+G200</f>
        <v>55905842</v>
      </c>
      <c r="H214" s="91">
        <f t="shared" si="59"/>
        <v>2613820.8499999996</v>
      </c>
      <c r="I214" s="91">
        <f t="shared" si="59"/>
        <v>1574086.3199999998</v>
      </c>
      <c r="J214" s="91">
        <f t="shared" si="59"/>
        <v>6643710.289999999</v>
      </c>
      <c r="K214" s="91">
        <f t="shared" si="59"/>
        <v>5345111.2</v>
      </c>
      <c r="L214" s="82">
        <f t="shared" si="59"/>
        <v>3751295.27</v>
      </c>
      <c r="M214" s="82">
        <f t="shared" si="59"/>
        <v>0</v>
      </c>
      <c r="N214" s="82">
        <f t="shared" si="59"/>
        <v>0</v>
      </c>
      <c r="O214" s="82">
        <f t="shared" si="59"/>
        <v>0</v>
      </c>
      <c r="P214" s="82">
        <f t="shared" si="59"/>
        <v>0</v>
      </c>
      <c r="Q214" s="82">
        <f t="shared" si="59"/>
        <v>0</v>
      </c>
      <c r="R214" s="82">
        <f t="shared" si="59"/>
        <v>0</v>
      </c>
      <c r="S214" s="82">
        <f t="shared" si="59"/>
        <v>0</v>
      </c>
      <c r="T214" s="82"/>
      <c r="U214" s="91">
        <f>+U4+U46+U111+U163+U177+U200</f>
        <v>19928023.93</v>
      </c>
      <c r="V214" s="94">
        <f t="shared" si="57"/>
        <v>35977818.07</v>
      </c>
      <c r="W214" s="96">
        <v>0.36</v>
      </c>
    </row>
    <row r="215" spans="1:23" ht="15">
      <c r="A215" s="2"/>
      <c r="B215" s="2" t="s">
        <v>34</v>
      </c>
      <c r="C215" s="2"/>
      <c r="D215" s="2"/>
      <c r="E215" s="47"/>
      <c r="F215" s="3" t="s">
        <v>34</v>
      </c>
      <c r="G215" s="92">
        <v>55905842</v>
      </c>
      <c r="H215" s="92"/>
      <c r="I215" s="92" t="s">
        <v>34</v>
      </c>
      <c r="J215" s="92" t="s">
        <v>34</v>
      </c>
      <c r="K215" s="92" t="s">
        <v>34</v>
      </c>
      <c r="L215" s="50" t="s">
        <v>34</v>
      </c>
      <c r="M215" s="50" t="s">
        <v>34</v>
      </c>
      <c r="N215" s="50" t="s">
        <v>34</v>
      </c>
      <c r="O215" s="50"/>
      <c r="P215" s="50" t="s">
        <v>34</v>
      </c>
      <c r="Q215" s="50"/>
      <c r="R215" s="50" t="s">
        <v>34</v>
      </c>
      <c r="S215" s="50" t="s">
        <v>34</v>
      </c>
      <c r="T215" s="50"/>
      <c r="U215" s="92" t="s">
        <v>34</v>
      </c>
      <c r="V215" s="92" t="s">
        <v>34</v>
      </c>
      <c r="W215" s="93"/>
    </row>
    <row r="216" spans="6:22" ht="15">
      <c r="F216" s="4"/>
      <c r="G216" s="72">
        <f>G215-G214</f>
        <v>0</v>
      </c>
      <c r="H216" s="7" t="s">
        <v>34</v>
      </c>
      <c r="I216" s="7"/>
      <c r="J216" s="7" t="s">
        <v>34</v>
      </c>
      <c r="K216" s="6"/>
      <c r="L216" s="8" t="s">
        <v>34</v>
      </c>
      <c r="M216" s="9" t="s">
        <v>34</v>
      </c>
      <c r="N216" s="9" t="s">
        <v>34</v>
      </c>
      <c r="O216" s="6" t="s">
        <v>34</v>
      </c>
      <c r="P216" s="10" t="s">
        <v>34</v>
      </c>
      <c r="Q216" s="6"/>
      <c r="R216" s="8" t="s">
        <v>34</v>
      </c>
      <c r="S216" s="8" t="s">
        <v>34</v>
      </c>
      <c r="T216" s="8"/>
      <c r="U216" s="11"/>
      <c r="V216" s="71" t="s">
        <v>34</v>
      </c>
    </row>
    <row r="217" spans="6:22" ht="15.75">
      <c r="F217" s="100" t="s">
        <v>194</v>
      </c>
      <c r="G217" s="101"/>
      <c r="H217" s="101"/>
      <c r="I217" s="102" t="s">
        <v>34</v>
      </c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</row>
    <row r="218" spans="6:22" ht="15">
      <c r="F218" s="14"/>
      <c r="G218" s="6"/>
      <c r="H218" s="12"/>
      <c r="I218" s="12"/>
      <c r="J218" s="95" t="s">
        <v>34</v>
      </c>
      <c r="U218" s="15"/>
      <c r="V218" s="5"/>
    </row>
    <row r="219" spans="7:22" ht="15">
      <c r="G219" s="6"/>
      <c r="H219" s="7" t="s">
        <v>34</v>
      </c>
      <c r="I219" s="12"/>
      <c r="J219" s="7" t="s">
        <v>34</v>
      </c>
      <c r="K219" s="86" t="s">
        <v>34</v>
      </c>
      <c r="M219" s="12"/>
      <c r="O219" s="16"/>
      <c r="U219" s="17"/>
      <c r="V219" s="18"/>
    </row>
    <row r="220" spans="7:22" ht="15">
      <c r="G220" s="6"/>
      <c r="H220" s="12"/>
      <c r="I220" s="12"/>
      <c r="J220" s="12"/>
      <c r="K220" s="86" t="s">
        <v>34</v>
      </c>
      <c r="O220" s="19"/>
      <c r="S220" s="8" t="s">
        <v>34</v>
      </c>
      <c r="T220" s="8"/>
      <c r="U220" s="17" t="s">
        <v>34</v>
      </c>
      <c r="V220" s="13" t="s">
        <v>34</v>
      </c>
    </row>
    <row r="221" spans="7:22" ht="15">
      <c r="G221" s="6"/>
      <c r="H221" s="12"/>
      <c r="I221" s="12"/>
      <c r="J221" s="12"/>
      <c r="K221" s="87" t="s">
        <v>34</v>
      </c>
      <c r="L221" s="20" t="s">
        <v>34</v>
      </c>
      <c r="U221" s="15"/>
      <c r="V221" s="5"/>
    </row>
    <row r="222" ht="15">
      <c r="K222" s="88"/>
    </row>
    <row r="223" ht="15">
      <c r="K223" s="88"/>
    </row>
    <row r="224" ht="15">
      <c r="K224" s="88"/>
    </row>
    <row r="225" ht="15">
      <c r="K225" s="15"/>
    </row>
  </sheetData>
  <sheetProtection/>
  <mergeCells count="3">
    <mergeCell ref="F217:H217"/>
    <mergeCell ref="I217:V217"/>
    <mergeCell ref="A3:E3"/>
  </mergeCells>
  <printOptions/>
  <pageMargins left="0.4330708661417323" right="0.15748031496062992" top="0.35433070866141736" bottom="0.4330708661417323" header="0.31496062992125984" footer="0.31496062992125984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</dc:creator>
  <cp:keywords/>
  <dc:description/>
  <cp:lastModifiedBy>Julia Rosario</cp:lastModifiedBy>
  <cp:lastPrinted>2018-05-02T16:36:10Z</cp:lastPrinted>
  <dcterms:created xsi:type="dcterms:W3CDTF">2017-11-08T14:15:00Z</dcterms:created>
  <dcterms:modified xsi:type="dcterms:W3CDTF">2018-06-11T18:14:55Z</dcterms:modified>
  <cp:category/>
  <cp:version/>
  <cp:contentType/>
  <cp:contentStatus/>
</cp:coreProperties>
</file>